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ristensen\Desktop\"/>
    </mc:Choice>
  </mc:AlternateContent>
  <bookViews>
    <workbookView xWindow="0" yWindow="0" windowWidth="19152" windowHeight="7584" activeTab="1"/>
  </bookViews>
  <sheets>
    <sheet name="Index TBL" sheetId="1" r:id="rId1"/>
    <sheet name="Index PVTBL" sheetId="2" r:id="rId2"/>
  </sheets>
  <definedNames>
    <definedName name="Slicer_Grant_Code">#N/A</definedName>
    <definedName name="Slicer_Index_Code">#N/A</definedName>
    <definedName name="Slicer_Org_Title">#N/A</definedName>
  </definedNames>
  <calcPr calcId="162913"/>
  <pivotCaches>
    <pivotCache cacheId="54"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K100" i="1" l="1"/>
  <c r="I100" i="1"/>
  <c r="G100" i="1"/>
  <c r="E100" i="1"/>
  <c r="C100" i="1"/>
  <c r="A100" i="1"/>
  <c r="K99" i="1"/>
  <c r="I99" i="1"/>
  <c r="G99" i="1"/>
  <c r="E99" i="1"/>
  <c r="C99" i="1"/>
  <c r="A99" i="1"/>
  <c r="K98" i="1"/>
  <c r="I98" i="1"/>
  <c r="G98" i="1"/>
  <c r="E98" i="1"/>
  <c r="C98" i="1"/>
  <c r="A98" i="1"/>
  <c r="K97" i="1"/>
  <c r="I97" i="1"/>
  <c r="G97" i="1"/>
  <c r="E97" i="1"/>
  <c r="C97" i="1"/>
  <c r="A97" i="1"/>
  <c r="K96" i="1"/>
  <c r="I96" i="1"/>
  <c r="G96" i="1"/>
  <c r="E96" i="1"/>
  <c r="C96" i="1"/>
  <c r="A96" i="1"/>
  <c r="K95" i="1"/>
  <c r="I95" i="1"/>
  <c r="G95" i="1"/>
  <c r="E95" i="1"/>
  <c r="C95" i="1"/>
  <c r="A95" i="1"/>
  <c r="K94" i="1"/>
  <c r="I94" i="1"/>
  <c r="G94" i="1"/>
  <c r="E94" i="1"/>
  <c r="C94" i="1"/>
  <c r="A94" i="1"/>
  <c r="K93" i="1"/>
  <c r="I93" i="1"/>
  <c r="G93" i="1"/>
  <c r="E93" i="1"/>
  <c r="C93" i="1"/>
  <c r="A93" i="1"/>
  <c r="K92" i="1"/>
  <c r="I92" i="1"/>
  <c r="G92" i="1"/>
  <c r="E92" i="1"/>
  <c r="C92" i="1"/>
  <c r="A92" i="1"/>
  <c r="K91" i="1"/>
  <c r="I91" i="1"/>
  <c r="G91" i="1"/>
  <c r="E91" i="1"/>
  <c r="C91" i="1"/>
  <c r="A91" i="1"/>
  <c r="K90" i="1"/>
  <c r="I90" i="1"/>
  <c r="G90" i="1"/>
  <c r="E90" i="1"/>
  <c r="C90" i="1"/>
  <c r="A90" i="1"/>
  <c r="K89" i="1"/>
  <c r="I89" i="1"/>
  <c r="G89" i="1"/>
  <c r="E89" i="1"/>
  <c r="C89" i="1"/>
  <c r="A89" i="1"/>
  <c r="K88" i="1"/>
  <c r="I88" i="1"/>
  <c r="G88" i="1"/>
  <c r="E88" i="1"/>
  <c r="C88" i="1"/>
  <c r="A88" i="1"/>
  <c r="K87" i="1"/>
  <c r="I87" i="1"/>
  <c r="G87" i="1"/>
  <c r="E87" i="1"/>
  <c r="C87" i="1"/>
  <c r="A87" i="1"/>
  <c r="K86" i="1"/>
  <c r="I86" i="1"/>
  <c r="G86" i="1"/>
  <c r="E86" i="1"/>
  <c r="C86" i="1"/>
  <c r="A86" i="1"/>
  <c r="K85" i="1"/>
  <c r="I85" i="1"/>
  <c r="G85" i="1"/>
  <c r="E85" i="1"/>
  <c r="C85" i="1"/>
  <c r="A85" i="1"/>
  <c r="K84" i="1"/>
  <c r="I84" i="1"/>
  <c r="G84" i="1"/>
  <c r="E84" i="1"/>
  <c r="C84" i="1"/>
  <c r="A84" i="1"/>
  <c r="K83" i="1"/>
  <c r="I83" i="1"/>
  <c r="G83" i="1"/>
  <c r="E83" i="1"/>
  <c r="C83" i="1"/>
  <c r="A83" i="1"/>
  <c r="K82" i="1"/>
  <c r="I82" i="1"/>
  <c r="G82" i="1"/>
  <c r="E82" i="1"/>
  <c r="C82" i="1"/>
  <c r="A82" i="1"/>
  <c r="K81" i="1"/>
  <c r="I81" i="1"/>
  <c r="G81" i="1"/>
  <c r="E81" i="1"/>
  <c r="C81" i="1"/>
  <c r="A81" i="1"/>
  <c r="K80" i="1"/>
  <c r="I80" i="1"/>
  <c r="G80" i="1"/>
  <c r="E80" i="1"/>
  <c r="C80" i="1"/>
  <c r="A80" i="1"/>
  <c r="K79" i="1"/>
  <c r="I79" i="1"/>
  <c r="G79" i="1"/>
  <c r="E79" i="1"/>
  <c r="C79" i="1"/>
  <c r="A79" i="1"/>
  <c r="K78" i="1"/>
  <c r="I78" i="1"/>
  <c r="G78" i="1"/>
  <c r="E78" i="1"/>
  <c r="C78" i="1"/>
  <c r="A78" i="1"/>
  <c r="K77" i="1"/>
  <c r="I77" i="1"/>
  <c r="G77" i="1"/>
  <c r="E77" i="1"/>
  <c r="C77" i="1"/>
  <c r="A77" i="1"/>
  <c r="K76" i="1"/>
  <c r="I76" i="1"/>
  <c r="G76" i="1"/>
  <c r="E76" i="1"/>
  <c r="C76" i="1"/>
  <c r="A76" i="1"/>
  <c r="K75" i="1"/>
  <c r="I75" i="1"/>
  <c r="G75" i="1"/>
  <c r="E75" i="1"/>
  <c r="C75" i="1"/>
  <c r="A75" i="1"/>
  <c r="K74" i="1"/>
  <c r="I74" i="1"/>
  <c r="G74" i="1"/>
  <c r="E74" i="1"/>
  <c r="C74" i="1"/>
  <c r="A74" i="1"/>
  <c r="K73" i="1"/>
  <c r="I73" i="1"/>
  <c r="G73" i="1"/>
  <c r="E73" i="1"/>
  <c r="C73" i="1"/>
  <c r="A73" i="1"/>
  <c r="K72" i="1"/>
  <c r="I72" i="1"/>
  <c r="G72" i="1"/>
  <c r="E72" i="1"/>
  <c r="C72" i="1"/>
  <c r="A72" i="1"/>
  <c r="K71" i="1"/>
  <c r="I71" i="1"/>
  <c r="G71" i="1"/>
  <c r="E71" i="1"/>
  <c r="C71" i="1"/>
  <c r="A71" i="1"/>
  <c r="K70" i="1"/>
  <c r="I70" i="1"/>
  <c r="G70" i="1"/>
  <c r="E70" i="1"/>
  <c r="C70" i="1"/>
  <c r="A70" i="1"/>
  <c r="K69" i="1"/>
  <c r="I69" i="1"/>
  <c r="G69" i="1"/>
  <c r="E69" i="1"/>
  <c r="C69" i="1"/>
  <c r="A69" i="1"/>
  <c r="K68" i="1"/>
  <c r="I68" i="1"/>
  <c r="G68" i="1"/>
  <c r="E68" i="1"/>
  <c r="C68" i="1"/>
  <c r="A68" i="1"/>
  <c r="K67" i="1"/>
  <c r="I67" i="1"/>
  <c r="G67" i="1"/>
  <c r="E67" i="1"/>
  <c r="C67" i="1"/>
  <c r="A67" i="1"/>
  <c r="K66" i="1"/>
  <c r="I66" i="1"/>
  <c r="G66" i="1"/>
  <c r="E66" i="1"/>
  <c r="C66" i="1"/>
  <c r="A66" i="1"/>
  <c r="K65" i="1"/>
  <c r="I65" i="1"/>
  <c r="G65" i="1"/>
  <c r="E65" i="1"/>
  <c r="C65" i="1"/>
  <c r="A65" i="1"/>
  <c r="G64" i="1"/>
  <c r="E64" i="1"/>
  <c r="C64" i="1"/>
  <c r="A64" i="1"/>
  <c r="G63" i="1"/>
  <c r="E63" i="1"/>
  <c r="C63" i="1"/>
  <c r="A63" i="1"/>
  <c r="G62" i="1"/>
  <c r="E62" i="1"/>
  <c r="C62" i="1"/>
  <c r="A62" i="1"/>
  <c r="A2" i="1"/>
  <c r="C2" i="1"/>
  <c r="E2" i="1"/>
  <c r="G2" i="1"/>
  <c r="I2" i="1"/>
  <c r="K2" i="1"/>
  <c r="A3" i="1"/>
  <c r="C3" i="1"/>
  <c r="E3" i="1"/>
  <c r="G3" i="1"/>
  <c r="I3" i="1"/>
  <c r="K3" i="1"/>
  <c r="A4" i="1"/>
  <c r="C4" i="1"/>
  <c r="E4" i="1"/>
  <c r="G4" i="1"/>
  <c r="I4" i="1"/>
  <c r="K4" i="1"/>
  <c r="A5" i="1"/>
  <c r="C5" i="1"/>
  <c r="E5" i="1"/>
  <c r="G5" i="1"/>
  <c r="I5" i="1"/>
  <c r="K5" i="1"/>
  <c r="A6" i="1"/>
  <c r="C6" i="1"/>
  <c r="E6" i="1"/>
  <c r="G6" i="1"/>
  <c r="I6" i="1"/>
  <c r="K6" i="1"/>
  <c r="A7" i="1"/>
  <c r="C7" i="1"/>
  <c r="E7" i="1"/>
  <c r="G7" i="1"/>
  <c r="I7" i="1"/>
  <c r="K7" i="1"/>
  <c r="A8" i="1"/>
  <c r="C8" i="1"/>
  <c r="E8" i="1"/>
  <c r="G8" i="1"/>
  <c r="I8" i="1"/>
  <c r="K8" i="1"/>
  <c r="A9" i="1"/>
  <c r="C9" i="1"/>
  <c r="E9" i="1"/>
  <c r="G9" i="1"/>
  <c r="I9" i="1"/>
  <c r="K9" i="1"/>
  <c r="A10" i="1"/>
  <c r="C10" i="1"/>
  <c r="E10" i="1"/>
  <c r="G10" i="1"/>
  <c r="I10" i="1"/>
  <c r="K10" i="1"/>
  <c r="A11" i="1"/>
  <c r="C11" i="1"/>
  <c r="E11" i="1"/>
  <c r="G11" i="1"/>
  <c r="I11" i="1"/>
  <c r="K11" i="1"/>
  <c r="A12" i="1"/>
  <c r="C12" i="1"/>
  <c r="E12" i="1"/>
  <c r="G12" i="1"/>
  <c r="I12" i="1"/>
  <c r="K12" i="1"/>
  <c r="A13" i="1"/>
  <c r="C13" i="1"/>
  <c r="E13" i="1"/>
  <c r="G13" i="1"/>
  <c r="I13" i="1"/>
  <c r="K13" i="1"/>
  <c r="A14" i="1"/>
  <c r="C14" i="1"/>
  <c r="E14" i="1"/>
  <c r="G14" i="1"/>
  <c r="I14" i="1"/>
  <c r="K14" i="1"/>
  <c r="A15" i="1"/>
  <c r="C15" i="1"/>
  <c r="E15" i="1"/>
  <c r="G15" i="1"/>
  <c r="I15" i="1"/>
  <c r="K15" i="1"/>
  <c r="A16" i="1"/>
  <c r="C16" i="1"/>
  <c r="E16" i="1"/>
  <c r="G16" i="1"/>
  <c r="I16" i="1"/>
  <c r="K16" i="1"/>
  <c r="A17" i="1"/>
  <c r="C17" i="1"/>
  <c r="E17" i="1"/>
  <c r="G17" i="1"/>
  <c r="I17" i="1"/>
  <c r="K17" i="1"/>
  <c r="A18" i="1"/>
  <c r="C18" i="1"/>
  <c r="E18" i="1"/>
  <c r="G18" i="1"/>
  <c r="I18" i="1"/>
  <c r="K18" i="1"/>
  <c r="A19" i="1"/>
  <c r="C19" i="1"/>
  <c r="E19" i="1"/>
  <c r="G19" i="1"/>
  <c r="I19" i="1"/>
  <c r="K19" i="1"/>
  <c r="A20" i="1"/>
  <c r="C20" i="1"/>
  <c r="E20" i="1"/>
  <c r="G20" i="1"/>
  <c r="I20" i="1"/>
  <c r="K20" i="1"/>
  <c r="A21" i="1"/>
  <c r="C21" i="1"/>
  <c r="E21" i="1"/>
  <c r="G21" i="1"/>
  <c r="I21" i="1"/>
  <c r="K21" i="1"/>
  <c r="A22" i="1"/>
  <c r="C22" i="1"/>
  <c r="E22" i="1"/>
  <c r="G22" i="1"/>
  <c r="I22" i="1"/>
  <c r="K22" i="1"/>
  <c r="A23" i="1"/>
  <c r="C23" i="1"/>
  <c r="E23" i="1"/>
  <c r="G23" i="1"/>
  <c r="I23" i="1"/>
  <c r="K23" i="1"/>
  <c r="A24" i="1"/>
  <c r="C24" i="1"/>
  <c r="E24" i="1"/>
  <c r="G24" i="1"/>
  <c r="I24" i="1"/>
  <c r="K24" i="1"/>
  <c r="A25" i="1"/>
  <c r="C25" i="1"/>
  <c r="E25" i="1"/>
  <c r="G25" i="1"/>
  <c r="I25" i="1"/>
  <c r="K25" i="1"/>
  <c r="A26" i="1"/>
  <c r="C26" i="1"/>
  <c r="E26" i="1"/>
  <c r="G26" i="1"/>
  <c r="I26" i="1"/>
  <c r="K26" i="1"/>
  <c r="A27" i="1"/>
  <c r="C27" i="1"/>
  <c r="E27" i="1"/>
  <c r="G27" i="1"/>
  <c r="I27" i="1"/>
  <c r="K27" i="1"/>
  <c r="A28" i="1"/>
  <c r="C28" i="1"/>
  <c r="E28" i="1"/>
  <c r="G28" i="1"/>
  <c r="I28" i="1"/>
  <c r="K28" i="1"/>
  <c r="A29" i="1"/>
  <c r="C29" i="1"/>
  <c r="E29" i="1"/>
  <c r="G29" i="1"/>
  <c r="I29" i="1"/>
  <c r="K29" i="1"/>
  <c r="A30" i="1"/>
  <c r="C30" i="1"/>
  <c r="E30" i="1"/>
  <c r="G30" i="1"/>
  <c r="I30" i="1"/>
  <c r="K30" i="1"/>
  <c r="A31" i="1"/>
  <c r="C31" i="1"/>
  <c r="E31" i="1"/>
  <c r="G31" i="1"/>
  <c r="I31" i="1"/>
  <c r="K31" i="1"/>
  <c r="A32" i="1"/>
  <c r="C32" i="1"/>
  <c r="E32" i="1"/>
  <c r="G32" i="1"/>
  <c r="I32" i="1"/>
  <c r="K32" i="1"/>
  <c r="A33" i="1"/>
  <c r="C33" i="1"/>
  <c r="E33" i="1"/>
  <c r="G33" i="1"/>
  <c r="I33" i="1"/>
  <c r="K33" i="1"/>
  <c r="A34" i="1"/>
  <c r="C34" i="1"/>
  <c r="E34" i="1"/>
  <c r="G34" i="1"/>
  <c r="I34" i="1"/>
  <c r="K34" i="1"/>
  <c r="A35" i="1"/>
  <c r="C35" i="1"/>
  <c r="E35" i="1"/>
  <c r="G35" i="1"/>
  <c r="I35" i="1"/>
  <c r="K35" i="1"/>
  <c r="A36" i="1"/>
  <c r="C36" i="1"/>
  <c r="E36" i="1"/>
  <c r="G36" i="1"/>
  <c r="I36" i="1"/>
  <c r="K36" i="1"/>
  <c r="A37" i="1"/>
  <c r="C37" i="1"/>
  <c r="E37" i="1"/>
  <c r="G37" i="1"/>
  <c r="I37" i="1"/>
  <c r="K37" i="1"/>
  <c r="A38" i="1"/>
  <c r="C38" i="1"/>
  <c r="E38" i="1"/>
  <c r="G38" i="1"/>
  <c r="I38" i="1"/>
  <c r="K38" i="1"/>
  <c r="A39" i="1"/>
  <c r="C39" i="1"/>
  <c r="E39" i="1"/>
  <c r="G39" i="1"/>
  <c r="I39" i="1"/>
  <c r="K39" i="1"/>
  <c r="A40" i="1"/>
  <c r="C40" i="1"/>
  <c r="E40" i="1"/>
  <c r="G40" i="1"/>
  <c r="I40" i="1"/>
  <c r="K40" i="1"/>
  <c r="A41" i="1"/>
  <c r="C41" i="1"/>
  <c r="E41" i="1"/>
  <c r="G41" i="1"/>
  <c r="I41" i="1"/>
  <c r="K41" i="1"/>
  <c r="A42" i="1"/>
  <c r="C42" i="1"/>
  <c r="E42" i="1"/>
  <c r="G42" i="1"/>
  <c r="I42" i="1"/>
  <c r="K42" i="1"/>
  <c r="A43" i="1"/>
  <c r="C43" i="1"/>
  <c r="E43" i="1"/>
  <c r="G43" i="1"/>
  <c r="I43" i="1"/>
  <c r="K43" i="1"/>
  <c r="A44" i="1"/>
  <c r="C44" i="1"/>
  <c r="E44" i="1"/>
  <c r="G44" i="1"/>
  <c r="I44" i="1"/>
  <c r="K44" i="1"/>
  <c r="A45" i="1"/>
  <c r="C45" i="1"/>
  <c r="E45" i="1"/>
  <c r="G45" i="1"/>
  <c r="I45" i="1"/>
  <c r="K45" i="1"/>
  <c r="A46" i="1"/>
  <c r="C46" i="1"/>
  <c r="E46" i="1"/>
  <c r="G46" i="1"/>
  <c r="I46" i="1"/>
  <c r="K46" i="1"/>
  <c r="A47" i="1"/>
  <c r="C47" i="1"/>
  <c r="E47" i="1"/>
  <c r="G47" i="1"/>
  <c r="I47" i="1"/>
  <c r="K47" i="1"/>
  <c r="A48" i="1"/>
  <c r="C48" i="1"/>
  <c r="E48" i="1"/>
  <c r="G48" i="1"/>
  <c r="I48" i="1"/>
  <c r="K48" i="1"/>
  <c r="A49" i="1"/>
  <c r="C49" i="1"/>
  <c r="E49" i="1"/>
  <c r="G49" i="1"/>
  <c r="I49" i="1"/>
  <c r="K49" i="1"/>
  <c r="A50" i="1"/>
  <c r="C50" i="1"/>
  <c r="E50" i="1"/>
  <c r="G50" i="1"/>
  <c r="I50" i="1"/>
  <c r="K50" i="1"/>
  <c r="A51" i="1"/>
  <c r="C51" i="1"/>
  <c r="E51" i="1"/>
  <c r="G51" i="1"/>
  <c r="I51" i="1"/>
  <c r="K51" i="1"/>
  <c r="A52" i="1"/>
  <c r="C52" i="1"/>
  <c r="E52" i="1"/>
  <c r="G52" i="1"/>
  <c r="I52" i="1"/>
  <c r="K52" i="1"/>
  <c r="A53" i="1"/>
  <c r="C53" i="1"/>
  <c r="E53" i="1"/>
  <c r="G53" i="1"/>
  <c r="I53" i="1"/>
  <c r="K53" i="1"/>
  <c r="A54" i="1"/>
  <c r="C54" i="1"/>
  <c r="E54" i="1"/>
  <c r="G54" i="1"/>
  <c r="I54" i="1"/>
  <c r="K54" i="1"/>
  <c r="A55" i="1"/>
  <c r="C55" i="1"/>
  <c r="E55" i="1"/>
  <c r="G55" i="1"/>
  <c r="I55" i="1"/>
  <c r="K55" i="1"/>
  <c r="A56" i="1"/>
  <c r="C56" i="1"/>
  <c r="E56" i="1"/>
  <c r="G56" i="1"/>
  <c r="I56" i="1"/>
  <c r="K56" i="1"/>
  <c r="A57" i="1"/>
  <c r="C57" i="1"/>
  <c r="E57" i="1"/>
  <c r="G57" i="1"/>
  <c r="I57" i="1"/>
  <c r="K57" i="1"/>
  <c r="A58" i="1"/>
  <c r="C58" i="1"/>
  <c r="E58" i="1"/>
  <c r="G58" i="1"/>
  <c r="I58" i="1"/>
  <c r="K58" i="1"/>
  <c r="A59" i="1"/>
  <c r="C59" i="1"/>
  <c r="E59" i="1"/>
  <c r="G59" i="1"/>
  <c r="I59" i="1"/>
  <c r="K59" i="1"/>
  <c r="A60" i="1"/>
  <c r="C60" i="1"/>
  <c r="E60" i="1"/>
  <c r="G60" i="1"/>
  <c r="I60" i="1"/>
  <c r="K60" i="1"/>
  <c r="A61" i="1"/>
  <c r="C61" i="1"/>
  <c r="E61" i="1"/>
  <c r="G61" i="1"/>
  <c r="I61" i="1"/>
  <c r="K61" i="1"/>
</calcChain>
</file>

<file path=xl/sharedStrings.xml><?xml version="1.0" encoding="utf-8"?>
<sst xmlns="http://schemas.openxmlformats.org/spreadsheetml/2006/main" count="1018" uniqueCount="333">
  <si>
    <t>Index Code</t>
  </si>
  <si>
    <t>Index title</t>
  </si>
  <si>
    <t>Fund</t>
  </si>
  <si>
    <t>Fund Title</t>
  </si>
  <si>
    <t>Org</t>
  </si>
  <si>
    <t>Org Title</t>
  </si>
  <si>
    <t>Prog</t>
  </si>
  <si>
    <t>Prog Title</t>
  </si>
  <si>
    <t>Actv</t>
  </si>
  <si>
    <t>Actv Title</t>
  </si>
  <si>
    <t>Locn</t>
  </si>
  <si>
    <t>Locn Title</t>
  </si>
  <si>
    <t>Grant Code</t>
  </si>
  <si>
    <t>VIEW Entrepreneurship Prog Gap Fund</t>
  </si>
  <si>
    <t>College of Business &amp; Economics</t>
  </si>
  <si>
    <t>Instruction</t>
  </si>
  <si>
    <t>Michael, Gary &amp; Meryle Kay Fac Fell</t>
  </si>
  <si>
    <t>CBE - Allen/Deloitte</t>
  </si>
  <si>
    <t>Reyes, Mario Faculty Fellowship End</t>
  </si>
  <si>
    <t>Scholarships &amp; Fellowships</t>
  </si>
  <si>
    <t>Thiessen Fellow. Research Excel.</t>
  </si>
  <si>
    <t>Barker Capital Mgmt &amp; Trading Prog</t>
  </si>
  <si>
    <t>CBE - PUEC Faculty Development Fund</t>
  </si>
  <si>
    <t>Other Institutional Act &amp; Unallow</t>
  </si>
  <si>
    <t>Dean D. Thornton Faculty Fellowship</t>
  </si>
  <si>
    <t>Hawkins CBE Faculty Enhancement</t>
  </si>
  <si>
    <t>General Administration</t>
  </si>
  <si>
    <t>Graue Program Operating Acct</t>
  </si>
  <si>
    <t>First Interstate Fac Dev Fund</t>
  </si>
  <si>
    <t>Davis Enrichment Fund</t>
  </si>
  <si>
    <t>Slade Discretionary Fund-CBE</t>
  </si>
  <si>
    <t>Severn, Russell Discretionary Fund</t>
  </si>
  <si>
    <t>Young Bus &amp; Econ Education Fd</t>
  </si>
  <si>
    <t>Bus &amp; Econ Unrest Endow</t>
  </si>
  <si>
    <t>CBE Dean's Student Advisory Board</t>
  </si>
  <si>
    <t>All Academic Support except UNA</t>
  </si>
  <si>
    <t>Elg, Annette &amp; Brad Barker Endow</t>
  </si>
  <si>
    <t>First Security Bus &amp; Econ</t>
  </si>
  <si>
    <t>Monnett Intl Business Fund</t>
  </si>
  <si>
    <t>McGowan B &amp; E Discretion</t>
  </si>
  <si>
    <t>Smith Discretionary Fund</t>
  </si>
  <si>
    <t>Small Business Projects</t>
  </si>
  <si>
    <t>Stoddard Dist Research Scholar</t>
  </si>
  <si>
    <t>Departmental Research On Campus</t>
  </si>
  <si>
    <t>Cd'A Mines Faculty Fellowship</t>
  </si>
  <si>
    <t>Espe Family Faculty Fellowship</t>
  </si>
  <si>
    <t>CBE - Student Charity Activity Fund</t>
  </si>
  <si>
    <t>Public Service On Campus</t>
  </si>
  <si>
    <t>Business &amp; Economics Summer Session</t>
  </si>
  <si>
    <t>General Education</t>
  </si>
  <si>
    <t>Soft Salary Gap</t>
  </si>
  <si>
    <t>Soft Salary Gap CEB</t>
  </si>
  <si>
    <t>Stover's Deli</t>
  </si>
  <si>
    <t>Auxiliary Enterprises</t>
  </si>
  <si>
    <t>CBE-Big Y</t>
  </si>
  <si>
    <t>CBE Salary Reserve</t>
  </si>
  <si>
    <t>Departmental Administration</t>
  </si>
  <si>
    <t>Business Revenue Attribution</t>
  </si>
  <si>
    <t>Bus &amp; Econ Special Initiatives</t>
  </si>
  <si>
    <t>Business - General Instr Support</t>
  </si>
  <si>
    <t>CBE Dean Search</t>
  </si>
  <si>
    <t>Bus &amp; Econ Administration</t>
  </si>
  <si>
    <t>Thoreson Enhanced Learning</t>
  </si>
  <si>
    <t>Business for Scientists Fund</t>
  </si>
  <si>
    <t>Kendrick, David Memorial Award</t>
  </si>
  <si>
    <t>VIEW Program</t>
  </si>
  <si>
    <t>Wickstrand Curricular Enhancement</t>
  </si>
  <si>
    <t>Bennett, Philo Prize</t>
  </si>
  <si>
    <t>CBE Entrepreneurship Fund - Kluth</t>
  </si>
  <si>
    <t>CBE Development Fund</t>
  </si>
  <si>
    <t>Davis, A. D. Awards</t>
  </si>
  <si>
    <t>Chair in Business Enterprise</t>
  </si>
  <si>
    <t>McCarthy Communication Lab</t>
  </si>
  <si>
    <t>Unrestricted Gifts-Bus &amp; Econ</t>
  </si>
  <si>
    <t>First Security Fdn - Library</t>
  </si>
  <si>
    <t>Integrated Business Core Curriculum</t>
  </si>
  <si>
    <t>Alsaker Family Fellowship</t>
  </si>
  <si>
    <t>Strategic Management</t>
  </si>
  <si>
    <t>CBEStudentCourseFees</t>
  </si>
  <si>
    <t>CBE Student Course Fees</t>
  </si>
  <si>
    <t>Infrastructure, Supplies, Tech Exp</t>
  </si>
  <si>
    <t>Advising Operating</t>
  </si>
  <si>
    <t>Bus &amp; Econ Admin General Support</t>
  </si>
  <si>
    <t>Bus&amp;EconEarnedOverhead</t>
  </si>
  <si>
    <t>F&amp;A Return - Bus &amp; Econ</t>
  </si>
  <si>
    <t>CBE Junior Faculty Fellowship</t>
  </si>
  <si>
    <t>CBE Building Fund</t>
  </si>
  <si>
    <t>Public Utilities Executive Course</t>
  </si>
  <si>
    <t>Executive Education</t>
  </si>
  <si>
    <t>Ctr for Bus Dev &amp; Entrepreneurship</t>
  </si>
  <si>
    <t>Executive MBA</t>
  </si>
  <si>
    <t>Prof Golf Mgmt (PGM) Operating</t>
  </si>
  <si>
    <t>Professional Golf Mgmt (PGM)</t>
  </si>
  <si>
    <t>PGA Golf Management Program Gifts</t>
  </si>
  <si>
    <t>PGA Golf Management Program</t>
  </si>
  <si>
    <t>ProfessionalGolfMgmt(PGM)</t>
  </si>
  <si>
    <t>PGM Operating</t>
  </si>
  <si>
    <t>Student Services</t>
  </si>
  <si>
    <t>Independent Study Crse</t>
  </si>
  <si>
    <t>Accounting</t>
  </si>
  <si>
    <t>Presnell Accounting Fund</t>
  </si>
  <si>
    <t>Nelson, Ann &amp; Dale Acct Fellowship</t>
  </si>
  <si>
    <t>Accounting Faculty Fellowship</t>
  </si>
  <si>
    <t>Moss Adams Accounting Faculty Fello</t>
  </si>
  <si>
    <t>Allen Faculty Supplement- Acct</t>
  </si>
  <si>
    <t>Accounting Advisory Board</t>
  </si>
  <si>
    <t>Acct Advisory Board Fellowship</t>
  </si>
  <si>
    <t>Unrestricted Gifts</t>
  </si>
  <si>
    <t>Unrestricted Gifts - Accounting</t>
  </si>
  <si>
    <t>Acct - Beta Alpha Psi</t>
  </si>
  <si>
    <t>Steele Accounting Professorship</t>
  </si>
  <si>
    <t>Accounting Lab and Course Fee</t>
  </si>
  <si>
    <t>Acctng Lab &amp; Crse Fee</t>
  </si>
  <si>
    <t>Accounting Operating</t>
  </si>
  <si>
    <t>Econ272On-lineTextFee</t>
  </si>
  <si>
    <t>Econ 272 On-line Text Fee</t>
  </si>
  <si>
    <t>Business</t>
  </si>
  <si>
    <t>OM Experiential Learning</t>
  </si>
  <si>
    <t>CASE Editorship Acct</t>
  </si>
  <si>
    <t>Departmental Research Off Campus</t>
  </si>
  <si>
    <t>Vandal Solutions</t>
  </si>
  <si>
    <t>Business Dept Misc</t>
  </si>
  <si>
    <t>Dept of Bus Endowment Earnings</t>
  </si>
  <si>
    <t>Process Mgmt &amp; Improvement Center</t>
  </si>
  <si>
    <t>Business Development</t>
  </si>
  <si>
    <t>IDHW SHIP project</t>
  </si>
  <si>
    <t>Organized Research Off Campus</t>
  </si>
  <si>
    <t>BB1078</t>
  </si>
  <si>
    <t>Multiple: Metlen Student Educ Act</t>
  </si>
  <si>
    <t>Instruction Grants On Campus</t>
  </si>
  <si>
    <t>BB0505</t>
  </si>
  <si>
    <t>Micron S&amp;OP Process - SEA BUS456</t>
  </si>
  <si>
    <t>Micron - SEA BUS456</t>
  </si>
  <si>
    <t>BB0378</t>
  </si>
  <si>
    <t>Business Operating</t>
  </si>
  <si>
    <t>FY16 VIP: Devezer</t>
  </si>
  <si>
    <t>Central Revenues and Allocations</t>
  </si>
  <si>
    <t>BSU Economic Impact Analysis</t>
  </si>
  <si>
    <t>BB2799</t>
  </si>
  <si>
    <t>Economics Unrestricted Gifts</t>
  </si>
  <si>
    <t>860987</t>
  </si>
  <si>
    <t>860993</t>
  </si>
  <si>
    <t>860990</t>
  </si>
  <si>
    <t>860998</t>
  </si>
  <si>
    <t>860999</t>
  </si>
  <si>
    <t>860996</t>
  </si>
  <si>
    <t>860994</t>
  </si>
  <si>
    <t>785997</t>
  </si>
  <si>
    <t>860992</t>
  </si>
  <si>
    <t>785993</t>
  </si>
  <si>
    <t>785959</t>
  </si>
  <si>
    <t>785984</t>
  </si>
  <si>
    <t>889985</t>
  </si>
  <si>
    <t>785998</t>
  </si>
  <si>
    <t>785949</t>
  </si>
  <si>
    <t>785946</t>
  </si>
  <si>
    <t>785969</t>
  </si>
  <si>
    <t>785999</t>
  </si>
  <si>
    <t>889992</t>
  </si>
  <si>
    <t>785947</t>
  </si>
  <si>
    <t>785940</t>
  </si>
  <si>
    <t>889991</t>
  </si>
  <si>
    <t>889995</t>
  </si>
  <si>
    <t>785951</t>
  </si>
  <si>
    <t>889999</t>
  </si>
  <si>
    <t>785945</t>
  </si>
  <si>
    <t>889989</t>
  </si>
  <si>
    <t>785956</t>
  </si>
  <si>
    <t>785960</t>
  </si>
  <si>
    <t>785980</t>
  </si>
  <si>
    <t>785953</t>
  </si>
  <si>
    <t>785948</t>
  </si>
  <si>
    <t>785970</t>
  </si>
  <si>
    <t>785986</t>
  </si>
  <si>
    <t>785985</t>
  </si>
  <si>
    <t>785952</t>
  </si>
  <si>
    <t>785944</t>
  </si>
  <si>
    <t>785943</t>
  </si>
  <si>
    <t>785995</t>
  </si>
  <si>
    <t>785978</t>
  </si>
  <si>
    <t>785988</t>
  </si>
  <si>
    <t>823998</t>
  </si>
  <si>
    <t>785965</t>
  </si>
  <si>
    <t>785987</t>
  </si>
  <si>
    <t>785961</t>
  </si>
  <si>
    <t>889993</t>
  </si>
  <si>
    <t>889987</t>
  </si>
  <si>
    <t>889984</t>
  </si>
  <si>
    <t>785971</t>
  </si>
  <si>
    <t>785979</t>
  </si>
  <si>
    <t>823999</t>
  </si>
  <si>
    <t>785964</t>
  </si>
  <si>
    <t>785972</t>
  </si>
  <si>
    <t>785991</t>
  </si>
  <si>
    <t>889986</t>
  </si>
  <si>
    <t>785963</t>
  </si>
  <si>
    <t>785962</t>
  </si>
  <si>
    <t>889996</t>
  </si>
  <si>
    <t>860986</t>
  </si>
  <si>
    <t>785996</t>
  </si>
  <si>
    <t>785992</t>
  </si>
  <si>
    <t>785981</t>
  </si>
  <si>
    <t>785989</t>
  </si>
  <si>
    <t>785974</t>
  </si>
  <si>
    <t>785955</t>
  </si>
  <si>
    <t>889998</t>
  </si>
  <si>
    <t>785973</t>
  </si>
  <si>
    <t>860991</t>
  </si>
  <si>
    <t>889997</t>
  </si>
  <si>
    <t>860989</t>
  </si>
  <si>
    <t>889988</t>
  </si>
  <si>
    <t>836997</t>
  </si>
  <si>
    <t>836999</t>
  </si>
  <si>
    <t>860988</t>
  </si>
  <si>
    <t>889994</t>
  </si>
  <si>
    <t>836994</t>
  </si>
  <si>
    <t>836995</t>
  </si>
  <si>
    <t>836996</t>
  </si>
  <si>
    <t>836998</t>
  </si>
  <si>
    <t>823997</t>
  </si>
  <si>
    <t>785957</t>
  </si>
  <si>
    <t>785967</t>
  </si>
  <si>
    <t>785966</t>
  </si>
  <si>
    <t>785976</t>
  </si>
  <si>
    <t>785975</t>
  </si>
  <si>
    <t>785941</t>
  </si>
  <si>
    <t>860997</t>
  </si>
  <si>
    <t>785977</t>
  </si>
  <si>
    <t>785942</t>
  </si>
  <si>
    <t>785994</t>
  </si>
  <si>
    <t>785958</t>
  </si>
  <si>
    <t>785950</t>
  </si>
  <si>
    <t>860995</t>
  </si>
  <si>
    <t>785990</t>
  </si>
  <si>
    <t>889990</t>
  </si>
  <si>
    <t>785954</t>
  </si>
  <si>
    <t>785982</t>
  </si>
  <si>
    <t>785983</t>
  </si>
  <si>
    <t>785968</t>
  </si>
  <si>
    <t>100000</t>
  </si>
  <si>
    <t>210529</t>
  </si>
  <si>
    <t>210532</t>
  </si>
  <si>
    <t>160440</t>
  </si>
  <si>
    <t>160114</t>
  </si>
  <si>
    <t>210526</t>
  </si>
  <si>
    <t>210528</t>
  </si>
  <si>
    <t>160111</t>
  </si>
  <si>
    <t>210530</t>
  </si>
  <si>
    <t>210482</t>
  </si>
  <si>
    <t>210515</t>
  </si>
  <si>
    <t>210490</t>
  </si>
  <si>
    <t>222799</t>
  </si>
  <si>
    <t>160110</t>
  </si>
  <si>
    <t>210505</t>
  </si>
  <si>
    <t>121235</t>
  </si>
  <si>
    <t>120476</t>
  </si>
  <si>
    <t>210535</t>
  </si>
  <si>
    <t>210523</t>
  </si>
  <si>
    <t>160117</t>
  </si>
  <si>
    <t>120471</t>
  </si>
  <si>
    <t>210518</t>
  </si>
  <si>
    <t>210514</t>
  </si>
  <si>
    <t>210494</t>
  </si>
  <si>
    <t>210521</t>
  </si>
  <si>
    <t>210504</t>
  </si>
  <si>
    <t>210488</t>
  </si>
  <si>
    <t>210489</t>
  </si>
  <si>
    <t>210522</t>
  </si>
  <si>
    <t>120470</t>
  </si>
  <si>
    <t>160113</t>
  </si>
  <si>
    <t>210496</t>
  </si>
  <si>
    <t>210486</t>
  </si>
  <si>
    <t>210509</t>
  </si>
  <si>
    <t>210487</t>
  </si>
  <si>
    <t>210513</t>
  </si>
  <si>
    <t>210538</t>
  </si>
  <si>
    <t>160444</t>
  </si>
  <si>
    <t>210539</t>
  </si>
  <si>
    <t>210503</t>
  </si>
  <si>
    <t>210495</t>
  </si>
  <si>
    <t>160115</t>
  </si>
  <si>
    <t>210510</t>
  </si>
  <si>
    <t>210502</t>
  </si>
  <si>
    <t>211105</t>
  </si>
  <si>
    <t>110000</t>
  </si>
  <si>
    <t>210511</t>
  </si>
  <si>
    <t>210512</t>
  </si>
  <si>
    <t>221078</t>
  </si>
  <si>
    <t>121466</t>
  </si>
  <si>
    <t>160112</t>
  </si>
  <si>
    <t>210483</t>
  </si>
  <si>
    <t>210493</t>
  </si>
  <si>
    <t>210485</t>
  </si>
  <si>
    <t>210500</t>
  </si>
  <si>
    <t>210519</t>
  </si>
  <si>
    <t>220378</t>
  </si>
  <si>
    <t>210501</t>
  </si>
  <si>
    <t>210531</t>
  </si>
  <si>
    <t>220505</t>
  </si>
  <si>
    <t>210533</t>
  </si>
  <si>
    <t>120474</t>
  </si>
  <si>
    <t>210536</t>
  </si>
  <si>
    <t>160116</t>
  </si>
  <si>
    <t>210534</t>
  </si>
  <si>
    <t>210537</t>
  </si>
  <si>
    <t>120472</t>
  </si>
  <si>
    <t>120475</t>
  </si>
  <si>
    <t>160441</t>
  </si>
  <si>
    <t>120477</t>
  </si>
  <si>
    <t>210517</t>
  </si>
  <si>
    <t>210507</t>
  </si>
  <si>
    <t>210508</t>
  </si>
  <si>
    <t>210498</t>
  </si>
  <si>
    <t>210499</t>
  </si>
  <si>
    <t>120017</t>
  </si>
  <si>
    <t>210525</t>
  </si>
  <si>
    <t>210497</t>
  </si>
  <si>
    <t>120469</t>
  </si>
  <si>
    <t>160439</t>
  </si>
  <si>
    <t>210516</t>
  </si>
  <si>
    <t>210524</t>
  </si>
  <si>
    <t>210527</t>
  </si>
  <si>
    <t>210484</t>
  </si>
  <si>
    <t>120473</t>
  </si>
  <si>
    <t>210520</t>
  </si>
  <si>
    <t>210492</t>
  </si>
  <si>
    <t>210491</t>
  </si>
  <si>
    <t>210506</t>
  </si>
  <si>
    <t>860</t>
  </si>
  <si>
    <t>785</t>
  </si>
  <si>
    <t>889</t>
  </si>
  <si>
    <t>823</t>
  </si>
  <si>
    <t>836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</si>
</sst>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
    <xf numFmtId="0" fontId="0" fillId="0" borderId="0" xfId="0"/>
    <xf numFmtId="0" fontId="0" fillId="0" borderId="0" xfId="0" pivotButton="1"/>
    <xf numFmtId="0" fontId="0" fillId="33" borderId="0" xfId="0"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83820</xdr:colOff>
      <xdr:row>13</xdr:row>
      <xdr:rowOff>167640</xdr:rowOff>
    </xdr:to>
    <mc:AlternateContent xmlns:mc="http://schemas.openxmlformats.org/markup-compatibility/2006" xmlns:a14="http://schemas.microsoft.com/office/drawing/2010/main">
      <mc:Choice Requires="a14">
        <xdr:graphicFrame macro="">
          <xdr:nvGraphicFramePr>
            <xdr:cNvPr id="2" name="Index Code"/>
            <xdr:cNvGraphicFramePr/>
          </xdr:nvGraphicFramePr>
          <xdr:xfrm>
            <a:off x="0" y="0"/>
            <a:ext cx="0" cy="0"/>
          </xdr:xfrm>
          <a:graphic>
            <a:graphicData uri="http://schemas.microsoft.com/office/drawing/2010/slicer">
              <sle:slicer xmlns:sle="http://schemas.microsoft.com/office/drawing/2010/slicer" name="Index Code"/>
            </a:graphicData>
          </a:graphic>
        </xdr:graphicFrame>
      </mc:Choice>
      <mc:Fallback xmlns="">
        <xdr:sp macro="" textlink="">
          <xdr:nvSpPr>
            <xdr:cNvPr id="0" name=""/>
            <xdr:cNvSpPr>
              <a:spLocks noTextEdit="1"/>
            </xdr:cNvSpPr>
          </xdr:nvSpPr>
          <xdr:spPr>
            <a:xfrm>
              <a:off x="0" y="0"/>
              <a:ext cx="9578340" cy="25450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14</xdr:row>
      <xdr:rowOff>99061</xdr:rowOff>
    </xdr:from>
    <xdr:to>
      <xdr:col>1</xdr:col>
      <xdr:colOff>274320</xdr:colOff>
      <xdr:row>24</xdr:row>
      <xdr:rowOff>38101</xdr:rowOff>
    </xdr:to>
    <mc:AlternateContent xmlns:mc="http://schemas.openxmlformats.org/markup-compatibility/2006" xmlns:a14="http://schemas.microsoft.com/office/drawing/2010/main">
      <mc:Choice Requires="a14">
        <xdr:graphicFrame macro="">
          <xdr:nvGraphicFramePr>
            <xdr:cNvPr id="3" name="Org Title"/>
            <xdr:cNvGraphicFramePr/>
          </xdr:nvGraphicFramePr>
          <xdr:xfrm>
            <a:off x="0" y="0"/>
            <a:ext cx="0" cy="0"/>
          </xdr:xfrm>
          <a:graphic>
            <a:graphicData uri="http://schemas.microsoft.com/office/drawing/2010/slicer">
              <sle:slicer xmlns:sle="http://schemas.microsoft.com/office/drawing/2010/slicer" name="Org Title"/>
            </a:graphicData>
          </a:graphic>
        </xdr:graphicFrame>
      </mc:Choice>
      <mc:Fallback xmlns="">
        <xdr:sp macro="" textlink="">
          <xdr:nvSpPr>
            <xdr:cNvPr id="0" name=""/>
            <xdr:cNvSpPr>
              <a:spLocks noTextEdit="1"/>
            </xdr:cNvSpPr>
          </xdr:nvSpPr>
          <xdr:spPr>
            <a:xfrm>
              <a:off x="0" y="2659381"/>
              <a:ext cx="2766060" cy="17678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381000</xdr:colOff>
      <xdr:row>14</xdr:row>
      <xdr:rowOff>99061</xdr:rowOff>
    </xdr:from>
    <xdr:to>
      <xdr:col>3</xdr:col>
      <xdr:colOff>381000</xdr:colOff>
      <xdr:row>24</xdr:row>
      <xdr:rowOff>38100</xdr:rowOff>
    </xdr:to>
    <mc:AlternateContent xmlns:mc="http://schemas.openxmlformats.org/markup-compatibility/2006" xmlns:a14="http://schemas.microsoft.com/office/drawing/2010/main">
      <mc:Choice Requires="a14">
        <xdr:graphicFrame macro="">
          <xdr:nvGraphicFramePr>
            <xdr:cNvPr id="4" name="Grant Code"/>
            <xdr:cNvGraphicFramePr/>
          </xdr:nvGraphicFramePr>
          <xdr:xfrm>
            <a:off x="0" y="0"/>
            <a:ext cx="0" cy="0"/>
          </xdr:xfrm>
          <a:graphic>
            <a:graphicData uri="http://schemas.microsoft.com/office/drawing/2010/slicer">
              <sle:slicer xmlns:sle="http://schemas.microsoft.com/office/drawing/2010/slicer" name="Grant Code"/>
            </a:graphicData>
          </a:graphic>
        </xdr:graphicFrame>
      </mc:Choice>
      <mc:Fallback xmlns="">
        <xdr:sp macro="" textlink="">
          <xdr:nvSpPr>
            <xdr:cNvPr id="0" name=""/>
            <xdr:cNvSpPr>
              <a:spLocks noTextEdit="1"/>
            </xdr:cNvSpPr>
          </xdr:nvSpPr>
          <xdr:spPr>
            <a:xfrm>
              <a:off x="2872740" y="2659381"/>
              <a:ext cx="1379220" cy="176783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hristensen, Joseph (christensen@uidaho.edu)" refreshedDate="43349.487812847219" createdVersion="6" refreshedVersion="6" minRefreshableVersion="3" recordCount="99">
  <cacheSource type="worksheet">
    <worksheetSource name="Table1"/>
  </cacheSource>
  <cacheFields count="13">
    <cacheField name="Index Code" numFmtId="0">
      <sharedItems count="99">
        <s v="785954"/>
        <s v="785955"/>
        <s v="785956"/>
        <s v="785957"/>
        <s v="785958"/>
        <s v="785959"/>
        <s v="785960"/>
        <s v="785961"/>
        <s v="785962"/>
        <s v="785963"/>
        <s v="785964"/>
        <s v="785965"/>
        <s v="785966"/>
        <s v="785967"/>
        <s v="785968"/>
        <s v="785969"/>
        <s v="785970"/>
        <s v="785971"/>
        <s v="785972"/>
        <s v="785973"/>
        <s v="785974"/>
        <s v="785975"/>
        <s v="785976"/>
        <s v="785977"/>
        <s v="785978"/>
        <s v="785979"/>
        <s v="785980"/>
        <s v="785940"/>
        <s v="785941"/>
        <s v="785942"/>
        <s v="785943"/>
        <s v="785944"/>
        <s v="785945"/>
        <s v="785946"/>
        <s v="785947"/>
        <s v="785948"/>
        <s v="785949"/>
        <s v="785950"/>
        <s v="785951"/>
        <s v="785981"/>
        <s v="785982"/>
        <s v="785983"/>
        <s v="785984"/>
        <s v="785985"/>
        <s v="785986"/>
        <s v="785987"/>
        <s v="785988"/>
        <s v="785989"/>
        <s v="785990"/>
        <s v="785991"/>
        <s v="785992"/>
        <s v="785993"/>
        <s v="785994"/>
        <s v="785995"/>
        <s v="785996"/>
        <s v="785997"/>
        <s v="785998"/>
        <s v="785999"/>
        <s v="785952"/>
        <s v="785953"/>
        <s v="823997"/>
        <s v="823998"/>
        <s v="823999"/>
        <s v="836994"/>
        <s v="836995"/>
        <s v="836996"/>
        <s v="836997"/>
        <s v="836998"/>
        <s v="836999"/>
        <s v="860986"/>
        <s v="860987"/>
        <s v="860988"/>
        <s v="860989"/>
        <s v="860990"/>
        <s v="860991"/>
        <s v="860992"/>
        <s v="860993"/>
        <s v="860994"/>
        <s v="860995"/>
        <s v="860996"/>
        <s v="860997"/>
        <s v="860998"/>
        <s v="860999"/>
        <s v="889987"/>
        <s v="889988"/>
        <s v="889989"/>
        <s v="889990"/>
        <s v="889991"/>
        <s v="889992"/>
        <s v="889993"/>
        <s v="889994"/>
        <s v="889995"/>
        <s v="889996"/>
        <s v="889997"/>
        <s v="889998"/>
        <s v="889999"/>
        <s v="889986"/>
        <s v="889985"/>
        <s v="889984"/>
      </sharedItems>
    </cacheField>
    <cacheField name="Index title" numFmtId="0">
      <sharedItems count="98">
        <s v="VIEW Entrepreneurship Prog Gap Fund"/>
        <s v="Michael, Gary &amp; Meryle Kay Fac Fell"/>
        <s v="CBE - Allen/Deloitte"/>
        <s v="Reyes, Mario Faculty Fellowship End"/>
        <s v="Thiessen Fellow. Research Excel."/>
        <s v="Barker Capital Mgmt &amp; Trading Prog"/>
        <s v="CBE - PUEC Faculty Development Fund"/>
        <s v="Dean D. Thornton Faculty Fellowship"/>
        <s v="Hawkins CBE Faculty Enhancement"/>
        <s v="Graue Program Operating Acct"/>
        <s v="First Interstate Fac Dev Fund"/>
        <s v="Davis Enrichment Fund"/>
        <s v="Slade Discretionary Fund-CBE"/>
        <s v="Severn, Russell Discretionary Fund"/>
        <s v="Young Bus &amp; Econ Education Fd"/>
        <s v="Bus &amp; Econ Unrest Endow"/>
        <s v="CBE Dean's Student Advisory Board"/>
        <s v="Elg, Annette &amp; Brad Barker Endow"/>
        <s v="First Security Bus &amp; Econ"/>
        <s v="Monnett Intl Business Fund"/>
        <s v="McGowan B &amp; E Discretion"/>
        <s v="Smith Discretionary Fund"/>
        <s v="Small Business Projects"/>
        <s v="Stoddard Dist Research Scholar"/>
        <s v="Cd'A Mines Faculty Fellowship"/>
        <s v="Espe Family Faculty Fellowship"/>
        <s v="CBE - Student Charity Activity Fund"/>
        <s v="Business &amp; Economics Summer Session"/>
        <s v="Soft Salary Gap"/>
        <s v="Stover's Deli"/>
        <s v="CBE-Big Y"/>
        <s v="CBE Salary Reserve"/>
        <s v="Business Revenue Attribution"/>
        <s v="Bus &amp; Econ Special Initiatives"/>
        <s v="Business - General Instr Support"/>
        <s v="CBE Dean Search"/>
        <s v="Bus &amp; Econ Administration"/>
        <s v="Thoreson Enhanced Learning"/>
        <s v="Business for Scientists Fund"/>
        <s v="Kendrick, David Memorial Award"/>
        <s v="VIEW Program"/>
        <s v="Wickstrand Curricular Enhancement"/>
        <s v="Bennett, Philo Prize"/>
        <s v="CBE Entrepreneurship Fund - Kluth"/>
        <s v="CBE Development Fund"/>
        <s v="Davis, A. D. Awards"/>
        <s v="Chair in Business Enterprise"/>
        <s v="McCarthy Communication Lab"/>
        <s v="Unrestricted Gifts-Bus &amp; Econ"/>
        <s v="First Security Fdn - Library"/>
        <s v="Integrated Business Core Curriculum"/>
        <s v="Alsaker Family Fellowship"/>
        <s v="Strategic Management"/>
        <s v="CBEStudentCourseFees"/>
        <s v="Infrastructure, Supplies, Tech Exp"/>
        <s v="Advising Operating"/>
        <s v="Bus &amp; Econ Admin General Support"/>
        <s v="Bus&amp;EconEarnedOverhead"/>
        <s v="CBE Junior Faculty Fellowship"/>
        <s v="CBE Building Fund"/>
        <s v="Public Utilities Executive Course"/>
        <s v="Ctr for Bus Dev &amp; Entrepreneurship"/>
        <s v="Executive MBA"/>
        <s v="Prof Golf Mgmt (PGM) Operating"/>
        <s v="Professional Golf Mgmt (PGM)"/>
        <s v="PGA Golf Management Program Gifts"/>
        <s v="ProfessionalGolfMgmt(PGM)"/>
        <s v="PGM Operating"/>
        <s v="Independent Study Crse"/>
        <s v="Accounting"/>
        <s v="Presnell Accounting Fund"/>
        <s v="Nelson, Ann &amp; Dale Acct Fellowship"/>
        <s v="Accounting Faculty Fellowship"/>
        <s v="Moss Adams Accounting Faculty Fello"/>
        <s v="Allen Faculty Supplement- Acct"/>
        <s v="Accounting Advisory Board"/>
        <s v="Acct Advisory Board Fellowship"/>
        <s v="Unrestricted Gifts"/>
        <s v="Acct - Beta Alpha Psi"/>
        <s v="Steele Accounting Professorship"/>
        <s v="Accounting Lab and Course Fee"/>
        <s v="Accounting Operating"/>
        <s v="Econ272On-lineTextFee"/>
        <s v="OM Experiential Learning"/>
        <s v="CASE Editorship Acct"/>
        <s v="Vandal Solutions"/>
        <s v="Business Dept Misc"/>
        <s v="Business"/>
        <s v="Dept of Bus Endowment Earnings"/>
        <s v="Process Mgmt &amp; Improvement Center"/>
        <s v="Business Development"/>
        <s v="IDHW SHIP project"/>
        <s v="Multiple: Metlen Student Educ Act"/>
        <s v="Micron S&amp;OP Process - SEA BUS456"/>
        <s v="Business Operating"/>
        <s v="FY16 VIP: Devezer"/>
        <s v="BSU Economic Impact Analysis"/>
        <s v="Economics Unrestricted Gifts"/>
      </sharedItems>
    </cacheField>
    <cacheField name="Fund" numFmtId="0">
      <sharedItems count="89">
        <s v="210520"/>
        <s v="210519"/>
        <s v="210518"/>
        <s v="210517"/>
        <s v="210516"/>
        <s v="210515"/>
        <s v="210514"/>
        <s v="210513"/>
        <s v="210512"/>
        <s v="210511"/>
        <s v="210510"/>
        <s v="210509"/>
        <s v="210508"/>
        <s v="210507"/>
        <s v="210506"/>
        <s v="210505"/>
        <s v="210504"/>
        <s v="210503"/>
        <s v="210502"/>
        <s v="210501"/>
        <s v="210500"/>
        <s v="210499"/>
        <s v="210498"/>
        <s v="210497"/>
        <s v="210496"/>
        <s v="210495"/>
        <s v="210494"/>
        <s v="100000"/>
        <s v="120017"/>
        <s v="120469"/>
        <s v="120470"/>
        <s v="210524"/>
        <s v="210523"/>
        <s v="210493"/>
        <s v="210492"/>
        <s v="210491"/>
        <s v="210490"/>
        <s v="210489"/>
        <s v="210488"/>
        <s v="210487"/>
        <s v="210486"/>
        <s v="210485"/>
        <s v="210484"/>
        <s v="211105"/>
        <s v="210483"/>
        <s v="210482"/>
        <s v="160439"/>
        <s v="160113"/>
        <s v="160112"/>
        <s v="160111"/>
        <s v="160110"/>
        <s v="121235"/>
        <s v="210522"/>
        <s v="210521"/>
        <s v="120477"/>
        <s v="160115"/>
        <s v="120472"/>
        <s v="120475"/>
        <s v="210536"/>
        <s v="160441"/>
        <s v="160116"/>
        <s v="121466"/>
        <s v="210534"/>
        <s v="210533"/>
        <s v="210532"/>
        <s v="210531"/>
        <s v="210530"/>
        <s v="210529"/>
        <s v="210528"/>
        <s v="210527"/>
        <s v="210526"/>
        <s v="210525"/>
        <s v="160440"/>
        <s v="160114"/>
        <s v="160444"/>
        <s v="120474"/>
        <s v="120471"/>
        <s v="120473"/>
        <s v="120476"/>
        <s v="210538"/>
        <s v="210537"/>
        <s v="210535"/>
        <s v="221078"/>
        <s v="220505"/>
        <s v="220378"/>
        <s v="160117"/>
        <s v="110000"/>
        <s v="222799"/>
        <s v="210539"/>
      </sharedItems>
    </cacheField>
    <cacheField name="Fund Title" numFmtId="0">
      <sharedItems count="88">
        <s v="VIEW Entrepreneurship Prog Gap Fund"/>
        <s v="Michael, Gary &amp; Meryle Kay Fac Fell"/>
        <s v="CBE - Allen/Deloitte"/>
        <s v="Reyes, Mario Faculty Fellowship End"/>
        <s v="Thiessen Fellow. Research Excel."/>
        <s v="Barker Capital Mgmt &amp; Trading Prog"/>
        <s v="CBE - PUEC Faculty Development Fund"/>
        <s v="Dean D. Thornton Faculty Fellowship"/>
        <s v="Hawkins CBE Faculty Enhancement"/>
        <s v="Graue Program Operating Acct"/>
        <s v="First Interstate Fac Dev Fund"/>
        <s v="Davis Enrichment Fund"/>
        <s v="Slade Discretionary Fund-CBE"/>
        <s v="Severn, Russell Discretionary Fund"/>
        <s v="Young Bus &amp; Econ Education Fd"/>
        <s v="Bus &amp; Econ Unrest Endow"/>
        <s v="CBE Dean's Student Advisory Board"/>
        <s v="Elg, Annette &amp; Brad Barker Endow"/>
        <s v="First Security Bus &amp; Econ"/>
        <s v="Monnett Intl Business Fund"/>
        <s v="McGowan B &amp; E Discretion"/>
        <s v="Smith Discretionary Fund"/>
        <s v="Small Business Projects"/>
        <s v="Stoddard Dist Research Scholar"/>
        <s v="Cd'A Mines Faculty Fellowship"/>
        <s v="Espe Family Faculty Fellowship"/>
        <s v="CBE - Student Charity Activity Fund"/>
        <s v="General Education"/>
        <s v="Soft Salary Gap CEB"/>
        <s v="Stover's Deli"/>
        <s v="CBE-Big Y"/>
        <s v="Thoreson Enhanced Learning"/>
        <s v="Business for Scientists Fund"/>
        <s v="Kendrick, David Memorial Award"/>
        <s v="VIEW Program"/>
        <s v="Wickstrand Curricular Enhancement"/>
        <s v="Bennett, Philo Prize"/>
        <s v="CBE Entrepreneurship Fund - Kluth"/>
        <s v="CBE Development Fund"/>
        <s v="Davis, A. D. Awards"/>
        <s v="Chair in Business Enterprise"/>
        <s v="McCarthy Communication Lab"/>
        <s v="Unrestricted Gifts-Bus &amp; Econ"/>
        <s v="First Security Fdn - Library"/>
        <s v="Integrated Business Core Curriculum"/>
        <s v="Alsaker Family Fellowship"/>
        <s v="Strategic Management"/>
        <s v="CBE Student Course Fees"/>
        <s v="Infrastructure, Supplies, Tech Exp"/>
        <s v="Advising Operating"/>
        <s v="Bus &amp; Econ Admin General Support"/>
        <s v="F&amp;A Return - Bus &amp; Econ"/>
        <s v="CBE Junior Faculty Fellowship"/>
        <s v="CBE Building Fund"/>
        <s v="Public Utilities Executive Course"/>
        <s v="Executive MBA"/>
        <s v="Prof Golf Mgmt (PGM) Operating"/>
        <s v="Professional Golf Mgmt (PGM)"/>
        <s v="PGA Golf Management Program"/>
        <s v="PGM Operating"/>
        <s v="Independent Study Crse"/>
        <s v="Presnell Accounting Fund"/>
        <s v="Nelson, Ann &amp; Dale Acct Fellowship"/>
        <s v="Accounting Faculty Fellowship"/>
        <s v="Moss Adams Accounting Faculty Fello"/>
        <s v="Allen Faculty Supplement- Acct"/>
        <s v="Accounting Advisory Board"/>
        <s v="Acct Advisory Board Fellowship"/>
        <s v="Unrestricted Gifts - Accounting"/>
        <s v="Acct - Beta Alpha Psi"/>
        <s v="Steele Accounting Professorship"/>
        <s v="Acctng Lab &amp; Crse Fee"/>
        <s v="Accounting Operating"/>
        <s v="Econ 272 On-line Text Fee"/>
        <s v="OM Experiential Learning"/>
        <s v="CASE Editorship Acct"/>
        <s v="Vandal Solutions"/>
        <s v="Business Dept Misc"/>
        <s v="Dept of Bus Endowment Earnings"/>
        <s v="Process Mgmt &amp; Improvement Center"/>
        <s v="Business Development"/>
        <s v="IDHW SHIP project"/>
        <s v="Multiple: Metlen Student Educ Act"/>
        <s v="Micron - SEA BUS456"/>
        <s v="Business Operating"/>
        <s v="Central Revenues and Allocations"/>
        <s v="BSU Economic Impact Analysis"/>
        <s v="Economics Unrestricted Gifts"/>
      </sharedItems>
    </cacheField>
    <cacheField name="Org" numFmtId="0">
      <sharedItems count="5">
        <s v="785"/>
        <s v="823"/>
        <s v="836"/>
        <s v="860"/>
        <s v="889"/>
      </sharedItems>
    </cacheField>
    <cacheField name="Org Title" numFmtId="0">
      <sharedItems count="5">
        <s v="College of Business &amp; Economics"/>
        <s v="Executive Education"/>
        <s v="Professional Golf Mgmt (PGM)"/>
        <s v="Accounting"/>
        <s v="Business"/>
      </sharedItems>
    </cacheField>
    <cacheField name="Prog" numFmtId="0">
      <sharedItems/>
    </cacheField>
    <cacheField name="Prog Title" numFmtId="0">
      <sharedItems/>
    </cacheField>
    <cacheField name="Actv" numFmtId="0">
      <sharedItems containsBlank="1"/>
    </cacheField>
    <cacheField name="Actv Title" numFmtId="0">
      <sharedItems containsBlank="1"/>
    </cacheField>
    <cacheField name="Locn" numFmtId="0">
      <sharedItems containsBlank="1"/>
    </cacheField>
    <cacheField name="Locn Title" numFmtId="0">
      <sharedItems containsNonDate="0" containsString="0" containsBlank="1"/>
    </cacheField>
    <cacheField name="Grant Code" numFmtId="0">
      <sharedItems containsBlank="1" count="5">
        <m/>
        <s v="BB1078"/>
        <s v="BB0505"/>
        <s v="BB0378"/>
        <s v="BB2799"/>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9">
  <r>
    <x v="0"/>
    <x v="0"/>
    <x v="0"/>
    <x v="0"/>
    <x v="0"/>
    <x v="0"/>
    <s v="01INX"/>
    <s v="Instruction"/>
    <s v=""/>
    <m/>
    <s v=""/>
    <m/>
    <x v="0"/>
  </r>
  <r>
    <x v="1"/>
    <x v="1"/>
    <x v="1"/>
    <x v="1"/>
    <x v="0"/>
    <x v="0"/>
    <s v="01INX"/>
    <s v="Instruction"/>
    <s v=""/>
    <m/>
    <s v=""/>
    <m/>
    <x v="0"/>
  </r>
  <r>
    <x v="2"/>
    <x v="2"/>
    <x v="2"/>
    <x v="2"/>
    <x v="0"/>
    <x v="0"/>
    <s v="01INX"/>
    <s v="Instruction"/>
    <s v=""/>
    <m/>
    <s v=""/>
    <m/>
    <x v="0"/>
  </r>
  <r>
    <x v="3"/>
    <x v="3"/>
    <x v="3"/>
    <x v="3"/>
    <x v="0"/>
    <x v="0"/>
    <s v="09SCF"/>
    <s v="Scholarships &amp; Fellowships"/>
    <s v=""/>
    <m/>
    <s v=""/>
    <m/>
    <x v="0"/>
  </r>
  <r>
    <x v="4"/>
    <x v="4"/>
    <x v="4"/>
    <x v="4"/>
    <x v="0"/>
    <x v="0"/>
    <s v="09SCF"/>
    <s v="Scholarships &amp; Fellowships"/>
    <s v=""/>
    <m/>
    <s v=""/>
    <m/>
    <x v="0"/>
  </r>
  <r>
    <x v="5"/>
    <x v="5"/>
    <x v="5"/>
    <x v="5"/>
    <x v="0"/>
    <x v="0"/>
    <s v="01INX"/>
    <s v="Instruction"/>
    <s v=""/>
    <m/>
    <s v=""/>
    <m/>
    <x v="0"/>
  </r>
  <r>
    <x v="6"/>
    <x v="6"/>
    <x v="6"/>
    <x v="6"/>
    <x v="0"/>
    <x v="0"/>
    <s v="01UNA"/>
    <s v="Other Institutional Act &amp; Unallow"/>
    <s v=""/>
    <m/>
    <s v=""/>
    <m/>
    <x v="0"/>
  </r>
  <r>
    <x v="7"/>
    <x v="7"/>
    <x v="7"/>
    <x v="7"/>
    <x v="0"/>
    <x v="0"/>
    <s v="09SCF"/>
    <s v="Scholarships &amp; Fellowships"/>
    <s v=""/>
    <m/>
    <s v=""/>
    <m/>
    <x v="0"/>
  </r>
  <r>
    <x v="8"/>
    <x v="8"/>
    <x v="8"/>
    <x v="8"/>
    <x v="0"/>
    <x v="0"/>
    <s v="07GAX"/>
    <s v="General Administration"/>
    <s v=""/>
    <m/>
    <s v=""/>
    <m/>
    <x v="0"/>
  </r>
  <r>
    <x v="9"/>
    <x v="9"/>
    <x v="9"/>
    <x v="9"/>
    <x v="0"/>
    <x v="0"/>
    <s v="01INX"/>
    <s v="Instruction"/>
    <s v=""/>
    <m/>
    <s v=""/>
    <m/>
    <x v="0"/>
  </r>
  <r>
    <x v="10"/>
    <x v="10"/>
    <x v="10"/>
    <x v="10"/>
    <x v="0"/>
    <x v="0"/>
    <s v="01UNA"/>
    <s v="Other Institutional Act &amp; Unallow"/>
    <s v=""/>
    <m/>
    <s v=""/>
    <m/>
    <x v="0"/>
  </r>
  <r>
    <x v="11"/>
    <x v="11"/>
    <x v="11"/>
    <x v="11"/>
    <x v="0"/>
    <x v="0"/>
    <s v="01UNA"/>
    <s v="Other Institutional Act &amp; Unallow"/>
    <s v=""/>
    <m/>
    <s v=""/>
    <m/>
    <x v="0"/>
  </r>
  <r>
    <x v="12"/>
    <x v="12"/>
    <x v="12"/>
    <x v="12"/>
    <x v="0"/>
    <x v="0"/>
    <s v="01UNA"/>
    <s v="Other Institutional Act &amp; Unallow"/>
    <s v=""/>
    <m/>
    <s v=""/>
    <m/>
    <x v="0"/>
  </r>
  <r>
    <x v="13"/>
    <x v="13"/>
    <x v="13"/>
    <x v="13"/>
    <x v="0"/>
    <x v="0"/>
    <s v="01UNA"/>
    <s v="Other Institutional Act &amp; Unallow"/>
    <s v=""/>
    <m/>
    <s v=""/>
    <m/>
    <x v="0"/>
  </r>
  <r>
    <x v="14"/>
    <x v="14"/>
    <x v="14"/>
    <x v="14"/>
    <x v="0"/>
    <x v="0"/>
    <s v="01INX"/>
    <s v="Instruction"/>
    <s v=""/>
    <m/>
    <s v=""/>
    <m/>
    <x v="0"/>
  </r>
  <r>
    <x v="15"/>
    <x v="15"/>
    <x v="15"/>
    <x v="15"/>
    <x v="0"/>
    <x v="0"/>
    <s v="01INX"/>
    <s v="Instruction"/>
    <s v=""/>
    <m/>
    <s v=""/>
    <m/>
    <x v="0"/>
  </r>
  <r>
    <x v="16"/>
    <x v="16"/>
    <x v="16"/>
    <x v="16"/>
    <x v="0"/>
    <x v="0"/>
    <s v="04ACS"/>
    <s v="All Academic Support except UNA"/>
    <s v=""/>
    <m/>
    <s v=""/>
    <m/>
    <x v="0"/>
  </r>
  <r>
    <x v="17"/>
    <x v="17"/>
    <x v="17"/>
    <x v="17"/>
    <x v="0"/>
    <x v="0"/>
    <s v="01INX"/>
    <s v="Instruction"/>
    <s v=""/>
    <m/>
    <s v=""/>
    <m/>
    <x v="0"/>
  </r>
  <r>
    <x v="18"/>
    <x v="18"/>
    <x v="18"/>
    <x v="18"/>
    <x v="0"/>
    <x v="0"/>
    <s v="01INX"/>
    <s v="Instruction"/>
    <s v=""/>
    <m/>
    <s v=""/>
    <m/>
    <x v="0"/>
  </r>
  <r>
    <x v="19"/>
    <x v="19"/>
    <x v="19"/>
    <x v="19"/>
    <x v="0"/>
    <x v="0"/>
    <s v="01UNA"/>
    <s v="Other Institutional Act &amp; Unallow"/>
    <s v=""/>
    <m/>
    <s v=""/>
    <m/>
    <x v="0"/>
  </r>
  <r>
    <x v="20"/>
    <x v="20"/>
    <x v="20"/>
    <x v="20"/>
    <x v="0"/>
    <x v="0"/>
    <s v="01INX"/>
    <s v="Instruction"/>
    <s v=""/>
    <m/>
    <s v=""/>
    <m/>
    <x v="0"/>
  </r>
  <r>
    <x v="21"/>
    <x v="21"/>
    <x v="21"/>
    <x v="21"/>
    <x v="0"/>
    <x v="0"/>
    <s v="01UNA"/>
    <s v="Other Institutional Act &amp; Unallow"/>
    <s v=""/>
    <m/>
    <s v=""/>
    <m/>
    <x v="0"/>
  </r>
  <r>
    <x v="22"/>
    <x v="22"/>
    <x v="22"/>
    <x v="22"/>
    <x v="0"/>
    <x v="0"/>
    <s v="04ACS"/>
    <s v="All Academic Support except UNA"/>
    <s v=""/>
    <m/>
    <s v=""/>
    <m/>
    <x v="0"/>
  </r>
  <r>
    <x v="23"/>
    <x v="23"/>
    <x v="23"/>
    <x v="23"/>
    <x v="0"/>
    <x v="0"/>
    <s v="01DRO"/>
    <s v="Departmental Research On Campus"/>
    <s v=""/>
    <m/>
    <s v=""/>
    <m/>
    <x v="0"/>
  </r>
  <r>
    <x v="24"/>
    <x v="24"/>
    <x v="24"/>
    <x v="24"/>
    <x v="0"/>
    <x v="0"/>
    <s v="01INX"/>
    <s v="Instruction"/>
    <s v=""/>
    <m/>
    <s v=""/>
    <m/>
    <x v="0"/>
  </r>
  <r>
    <x v="25"/>
    <x v="25"/>
    <x v="25"/>
    <x v="25"/>
    <x v="0"/>
    <x v="0"/>
    <s v="09SCF"/>
    <s v="Scholarships &amp; Fellowships"/>
    <s v=""/>
    <m/>
    <s v=""/>
    <m/>
    <x v="0"/>
  </r>
  <r>
    <x v="26"/>
    <x v="26"/>
    <x v="26"/>
    <x v="26"/>
    <x v="0"/>
    <x v="0"/>
    <s v="03PSO"/>
    <s v="Public Service On Campus"/>
    <s v=""/>
    <m/>
    <s v=""/>
    <m/>
    <x v="0"/>
  </r>
  <r>
    <x v="27"/>
    <x v="27"/>
    <x v="27"/>
    <x v="27"/>
    <x v="0"/>
    <x v="0"/>
    <s v="01INX"/>
    <s v="Instruction"/>
    <s v="785SUM"/>
    <s v="Business &amp; Economics Summer Session"/>
    <s v=""/>
    <m/>
    <x v="0"/>
  </r>
  <r>
    <x v="28"/>
    <x v="28"/>
    <x v="28"/>
    <x v="28"/>
    <x v="0"/>
    <x v="0"/>
    <s v="01INX"/>
    <s v="Instruction"/>
    <s v=""/>
    <m/>
    <s v=""/>
    <m/>
    <x v="0"/>
  </r>
  <r>
    <x v="29"/>
    <x v="29"/>
    <x v="29"/>
    <x v="29"/>
    <x v="0"/>
    <x v="0"/>
    <s v="10AXX"/>
    <s v="Auxiliary Enterprises"/>
    <s v=""/>
    <m/>
    <s v=""/>
    <m/>
    <x v="0"/>
  </r>
  <r>
    <x v="30"/>
    <x v="30"/>
    <x v="30"/>
    <x v="30"/>
    <x v="0"/>
    <x v="0"/>
    <s v="01INX"/>
    <s v="Instruction"/>
    <s v=""/>
    <m/>
    <s v=""/>
    <m/>
    <x v="0"/>
  </r>
  <r>
    <x v="31"/>
    <x v="31"/>
    <x v="27"/>
    <x v="27"/>
    <x v="0"/>
    <x v="0"/>
    <s v="01INX"/>
    <s v="Instruction"/>
    <s v="785ADM"/>
    <s v="Departmental Administration"/>
    <s v=""/>
    <m/>
    <x v="0"/>
  </r>
  <r>
    <x v="32"/>
    <x v="32"/>
    <x v="27"/>
    <x v="27"/>
    <x v="0"/>
    <x v="0"/>
    <s v="01INX"/>
    <s v="Instruction"/>
    <s v="785BRA"/>
    <s v="Business Revenue Attribution"/>
    <s v=""/>
    <m/>
    <x v="0"/>
  </r>
  <r>
    <x v="33"/>
    <x v="33"/>
    <x v="27"/>
    <x v="27"/>
    <x v="0"/>
    <x v="0"/>
    <s v="01INX"/>
    <s v="Instruction"/>
    <s v="785SIN"/>
    <s v="Bus &amp; Econ Special Initiatives"/>
    <s v=""/>
    <m/>
    <x v="0"/>
  </r>
  <r>
    <x v="34"/>
    <x v="34"/>
    <x v="27"/>
    <x v="27"/>
    <x v="0"/>
    <x v="0"/>
    <s v="01INX"/>
    <s v="Instruction"/>
    <s v="785GIS"/>
    <s v="Business - General Instr Support"/>
    <s v=""/>
    <m/>
    <x v="0"/>
  </r>
  <r>
    <x v="35"/>
    <x v="35"/>
    <x v="27"/>
    <x v="27"/>
    <x v="0"/>
    <x v="0"/>
    <s v="04DAX"/>
    <s v="Departmental Administration"/>
    <s v="785DNS"/>
    <s v="CBE Dean Search"/>
    <s v=""/>
    <m/>
    <x v="0"/>
  </r>
  <r>
    <x v="36"/>
    <x v="36"/>
    <x v="27"/>
    <x v="27"/>
    <x v="0"/>
    <x v="0"/>
    <s v="04DAX"/>
    <s v="Departmental Administration"/>
    <s v=""/>
    <m/>
    <s v=""/>
    <m/>
    <x v="0"/>
  </r>
  <r>
    <x v="37"/>
    <x v="37"/>
    <x v="31"/>
    <x v="31"/>
    <x v="0"/>
    <x v="0"/>
    <s v="01INX"/>
    <s v="Instruction"/>
    <s v=""/>
    <m/>
    <s v=""/>
    <m/>
    <x v="0"/>
  </r>
  <r>
    <x v="38"/>
    <x v="38"/>
    <x v="32"/>
    <x v="32"/>
    <x v="0"/>
    <x v="0"/>
    <s v="01INX"/>
    <s v="Instruction"/>
    <s v=""/>
    <m/>
    <s v=""/>
    <m/>
    <x v="0"/>
  </r>
  <r>
    <x v="39"/>
    <x v="39"/>
    <x v="33"/>
    <x v="33"/>
    <x v="0"/>
    <x v="0"/>
    <s v="01UNA"/>
    <s v="Other Institutional Act &amp; Unallow"/>
    <s v=""/>
    <m/>
    <s v=""/>
    <m/>
    <x v="0"/>
  </r>
  <r>
    <x v="40"/>
    <x v="40"/>
    <x v="34"/>
    <x v="34"/>
    <x v="0"/>
    <x v="0"/>
    <s v="03PSO"/>
    <s v="Public Service On Campus"/>
    <s v=""/>
    <m/>
    <s v=""/>
    <m/>
    <x v="0"/>
  </r>
  <r>
    <x v="41"/>
    <x v="41"/>
    <x v="35"/>
    <x v="35"/>
    <x v="0"/>
    <x v="0"/>
    <s v="01INX"/>
    <s v="Instruction"/>
    <s v=""/>
    <m/>
    <s v=""/>
    <m/>
    <x v="0"/>
  </r>
  <r>
    <x v="42"/>
    <x v="42"/>
    <x v="36"/>
    <x v="36"/>
    <x v="0"/>
    <x v="0"/>
    <s v="01UNA"/>
    <s v="Other Institutional Act &amp; Unallow"/>
    <s v=""/>
    <m/>
    <s v=""/>
    <m/>
    <x v="0"/>
  </r>
  <r>
    <x v="43"/>
    <x v="43"/>
    <x v="37"/>
    <x v="37"/>
    <x v="0"/>
    <x v="0"/>
    <s v="01INX"/>
    <s v="Instruction"/>
    <s v=""/>
    <m/>
    <s v=""/>
    <m/>
    <x v="0"/>
  </r>
  <r>
    <x v="44"/>
    <x v="44"/>
    <x v="38"/>
    <x v="38"/>
    <x v="0"/>
    <x v="0"/>
    <s v="01INX"/>
    <s v="Instruction"/>
    <s v=""/>
    <m/>
    <s v=""/>
    <m/>
    <x v="0"/>
  </r>
  <r>
    <x v="45"/>
    <x v="45"/>
    <x v="39"/>
    <x v="39"/>
    <x v="0"/>
    <x v="0"/>
    <s v="01UNA"/>
    <s v="Other Institutional Act &amp; Unallow"/>
    <s v=""/>
    <m/>
    <s v=""/>
    <m/>
    <x v="0"/>
  </r>
  <r>
    <x v="46"/>
    <x v="46"/>
    <x v="40"/>
    <x v="40"/>
    <x v="0"/>
    <x v="0"/>
    <s v="01INX"/>
    <s v="Instruction"/>
    <s v=""/>
    <m/>
    <s v=""/>
    <m/>
    <x v="0"/>
  </r>
  <r>
    <x v="47"/>
    <x v="47"/>
    <x v="41"/>
    <x v="41"/>
    <x v="0"/>
    <x v="0"/>
    <s v="01INX"/>
    <s v="Instruction"/>
    <s v=""/>
    <m/>
    <s v=""/>
    <m/>
    <x v="0"/>
  </r>
  <r>
    <x v="48"/>
    <x v="48"/>
    <x v="42"/>
    <x v="42"/>
    <x v="0"/>
    <x v="0"/>
    <s v="01UNA"/>
    <s v="Other Institutional Act &amp; Unallow"/>
    <s v=""/>
    <m/>
    <s v=""/>
    <m/>
    <x v="0"/>
  </r>
  <r>
    <x v="49"/>
    <x v="49"/>
    <x v="43"/>
    <x v="43"/>
    <x v="0"/>
    <x v="0"/>
    <s v="01INX"/>
    <s v="Instruction"/>
    <s v=""/>
    <m/>
    <s v=""/>
    <m/>
    <x v="0"/>
  </r>
  <r>
    <x v="50"/>
    <x v="50"/>
    <x v="44"/>
    <x v="44"/>
    <x v="0"/>
    <x v="0"/>
    <s v="01INX"/>
    <s v="Instruction"/>
    <s v=""/>
    <m/>
    <s v=""/>
    <m/>
    <x v="0"/>
  </r>
  <r>
    <x v="51"/>
    <x v="51"/>
    <x v="45"/>
    <x v="45"/>
    <x v="0"/>
    <x v="0"/>
    <s v="09SCF"/>
    <s v="Scholarships &amp; Fellowships"/>
    <s v=""/>
    <m/>
    <s v=""/>
    <m/>
    <x v="0"/>
  </r>
  <r>
    <x v="52"/>
    <x v="52"/>
    <x v="46"/>
    <x v="46"/>
    <x v="0"/>
    <x v="0"/>
    <s v="01INX"/>
    <s v="Instruction"/>
    <s v=""/>
    <m/>
    <s v=""/>
    <m/>
    <x v="0"/>
  </r>
  <r>
    <x v="53"/>
    <x v="53"/>
    <x v="47"/>
    <x v="47"/>
    <x v="0"/>
    <x v="0"/>
    <s v="01INX"/>
    <s v="Instruction"/>
    <s v=""/>
    <m/>
    <s v=""/>
    <m/>
    <x v="0"/>
  </r>
  <r>
    <x v="54"/>
    <x v="54"/>
    <x v="48"/>
    <x v="48"/>
    <x v="0"/>
    <x v="0"/>
    <s v="04ACS"/>
    <s v="All Academic Support except UNA"/>
    <s v=""/>
    <m/>
    <s v=""/>
    <m/>
    <x v="0"/>
  </r>
  <r>
    <x v="55"/>
    <x v="55"/>
    <x v="49"/>
    <x v="49"/>
    <x v="0"/>
    <x v="0"/>
    <s v="01INX"/>
    <s v="Instruction"/>
    <s v=""/>
    <m/>
    <s v=""/>
    <m/>
    <x v="0"/>
  </r>
  <r>
    <x v="56"/>
    <x v="56"/>
    <x v="50"/>
    <x v="50"/>
    <x v="0"/>
    <x v="0"/>
    <s v="01INX"/>
    <s v="Instruction"/>
    <s v=""/>
    <m/>
    <s v=""/>
    <m/>
    <x v="0"/>
  </r>
  <r>
    <x v="57"/>
    <x v="57"/>
    <x v="51"/>
    <x v="51"/>
    <x v="0"/>
    <x v="0"/>
    <s v="01DRO"/>
    <s v="Departmental Research On Campus"/>
    <s v=""/>
    <m/>
    <s v=""/>
    <m/>
    <x v="0"/>
  </r>
  <r>
    <x v="58"/>
    <x v="58"/>
    <x v="52"/>
    <x v="52"/>
    <x v="0"/>
    <x v="0"/>
    <s v="09SCF"/>
    <s v="Scholarships &amp; Fellowships"/>
    <s v=""/>
    <m/>
    <s v=""/>
    <m/>
    <x v="0"/>
  </r>
  <r>
    <x v="59"/>
    <x v="59"/>
    <x v="53"/>
    <x v="53"/>
    <x v="0"/>
    <x v="0"/>
    <s v="01UNA"/>
    <s v="Other Institutional Act &amp; Unallow"/>
    <s v=""/>
    <m/>
    <s v=""/>
    <m/>
    <x v="0"/>
  </r>
  <r>
    <x v="60"/>
    <x v="60"/>
    <x v="54"/>
    <x v="54"/>
    <x v="1"/>
    <x v="1"/>
    <s v="01INX"/>
    <s v="Instruction"/>
    <m/>
    <m/>
    <m/>
    <m/>
    <x v="0"/>
  </r>
  <r>
    <x v="61"/>
    <x v="61"/>
    <x v="27"/>
    <x v="27"/>
    <x v="1"/>
    <x v="1"/>
    <s v="03PSO"/>
    <s v="Public Service On Campus"/>
    <m/>
    <m/>
    <m/>
    <m/>
    <x v="0"/>
  </r>
  <r>
    <x v="62"/>
    <x v="62"/>
    <x v="55"/>
    <x v="55"/>
    <x v="1"/>
    <x v="1"/>
    <s v="01INX"/>
    <s v="Instruction"/>
    <m/>
    <m/>
    <m/>
    <m/>
    <x v="0"/>
  </r>
  <r>
    <x v="63"/>
    <x v="63"/>
    <x v="56"/>
    <x v="56"/>
    <x v="2"/>
    <x v="2"/>
    <s v="01INX"/>
    <s v="Instruction"/>
    <s v=""/>
    <m/>
    <s v=""/>
    <m/>
    <x v="0"/>
  </r>
  <r>
    <x v="64"/>
    <x v="64"/>
    <x v="57"/>
    <x v="57"/>
    <x v="2"/>
    <x v="2"/>
    <s v="01INX"/>
    <s v="Instruction"/>
    <s v=""/>
    <m/>
    <s v=""/>
    <m/>
    <x v="0"/>
  </r>
  <r>
    <x v="65"/>
    <x v="64"/>
    <x v="27"/>
    <x v="27"/>
    <x v="2"/>
    <x v="2"/>
    <s v="01INX"/>
    <s v="Instruction"/>
    <s v=""/>
    <m/>
    <s v=""/>
    <m/>
    <x v="0"/>
  </r>
  <r>
    <x v="66"/>
    <x v="65"/>
    <x v="58"/>
    <x v="58"/>
    <x v="2"/>
    <x v="2"/>
    <s v="01INX"/>
    <s v="Instruction"/>
    <s v=""/>
    <m/>
    <s v=""/>
    <m/>
    <x v="0"/>
  </r>
  <r>
    <x v="67"/>
    <x v="66"/>
    <x v="59"/>
    <x v="57"/>
    <x v="2"/>
    <x v="2"/>
    <s v="01INX"/>
    <s v="Instruction"/>
    <s v=""/>
    <m/>
    <s v=""/>
    <m/>
    <x v="0"/>
  </r>
  <r>
    <x v="68"/>
    <x v="67"/>
    <x v="60"/>
    <x v="59"/>
    <x v="2"/>
    <x v="2"/>
    <s v="06SSX"/>
    <s v="Student Services"/>
    <s v=""/>
    <m/>
    <s v=""/>
    <m/>
    <x v="0"/>
  </r>
  <r>
    <x v="69"/>
    <x v="68"/>
    <x v="61"/>
    <x v="60"/>
    <x v="3"/>
    <x v="3"/>
    <s v="01INX"/>
    <s v="Instruction"/>
    <s v=""/>
    <m/>
    <s v=""/>
    <m/>
    <x v="0"/>
  </r>
  <r>
    <x v="70"/>
    <x v="69"/>
    <x v="27"/>
    <x v="27"/>
    <x v="3"/>
    <x v="3"/>
    <s v="01INX"/>
    <s v="Instruction"/>
    <s v=""/>
    <m/>
    <s v=""/>
    <m/>
    <x v="0"/>
  </r>
  <r>
    <x v="71"/>
    <x v="70"/>
    <x v="62"/>
    <x v="61"/>
    <x v="3"/>
    <x v="3"/>
    <s v="01UNA"/>
    <s v="Other Institutional Act &amp; Unallow"/>
    <s v=""/>
    <m/>
    <s v=""/>
    <m/>
    <x v="0"/>
  </r>
  <r>
    <x v="72"/>
    <x v="71"/>
    <x v="63"/>
    <x v="62"/>
    <x v="3"/>
    <x v="3"/>
    <s v="01INX"/>
    <s v="Instruction"/>
    <s v=""/>
    <m/>
    <s v=""/>
    <m/>
    <x v="0"/>
  </r>
  <r>
    <x v="73"/>
    <x v="72"/>
    <x v="64"/>
    <x v="63"/>
    <x v="3"/>
    <x v="3"/>
    <s v="01INX"/>
    <s v="Instruction"/>
    <s v=""/>
    <m/>
    <s v=""/>
    <m/>
    <x v="0"/>
  </r>
  <r>
    <x v="74"/>
    <x v="73"/>
    <x v="65"/>
    <x v="64"/>
    <x v="3"/>
    <x v="3"/>
    <s v="01INX"/>
    <s v="Instruction"/>
    <s v=""/>
    <m/>
    <s v=""/>
    <m/>
    <x v="0"/>
  </r>
  <r>
    <x v="75"/>
    <x v="74"/>
    <x v="66"/>
    <x v="65"/>
    <x v="3"/>
    <x v="3"/>
    <s v="07GAX"/>
    <s v="General Administration"/>
    <s v=""/>
    <m/>
    <s v=""/>
    <m/>
    <x v="0"/>
  </r>
  <r>
    <x v="76"/>
    <x v="75"/>
    <x v="67"/>
    <x v="66"/>
    <x v="3"/>
    <x v="3"/>
    <s v="01INX"/>
    <s v="Instruction"/>
    <s v=""/>
    <m/>
    <s v=""/>
    <m/>
    <x v="0"/>
  </r>
  <r>
    <x v="77"/>
    <x v="76"/>
    <x v="68"/>
    <x v="67"/>
    <x v="3"/>
    <x v="3"/>
    <s v="09SCF"/>
    <s v="Scholarships &amp; Fellowships"/>
    <s v=""/>
    <m/>
    <s v=""/>
    <m/>
    <x v="0"/>
  </r>
  <r>
    <x v="78"/>
    <x v="77"/>
    <x v="69"/>
    <x v="68"/>
    <x v="3"/>
    <x v="3"/>
    <s v="01UNA"/>
    <s v="Other Institutional Act &amp; Unallow"/>
    <s v=""/>
    <m/>
    <s v=""/>
    <m/>
    <x v="0"/>
  </r>
  <r>
    <x v="79"/>
    <x v="78"/>
    <x v="70"/>
    <x v="69"/>
    <x v="3"/>
    <x v="3"/>
    <s v="06SSX"/>
    <s v="Student Services"/>
    <s v=""/>
    <m/>
    <s v=""/>
    <m/>
    <x v="0"/>
  </r>
  <r>
    <x v="80"/>
    <x v="79"/>
    <x v="71"/>
    <x v="70"/>
    <x v="3"/>
    <x v="3"/>
    <s v="01UNA"/>
    <s v="Other Institutional Act &amp; Unallow"/>
    <s v=""/>
    <m/>
    <s v=""/>
    <m/>
    <x v="0"/>
  </r>
  <r>
    <x v="81"/>
    <x v="80"/>
    <x v="72"/>
    <x v="71"/>
    <x v="3"/>
    <x v="3"/>
    <s v="01INX"/>
    <s v="Instruction"/>
    <s v=""/>
    <m/>
    <s v=""/>
    <m/>
    <x v="0"/>
  </r>
  <r>
    <x v="82"/>
    <x v="81"/>
    <x v="73"/>
    <x v="72"/>
    <x v="3"/>
    <x v="3"/>
    <s v="01INX"/>
    <s v="Instruction"/>
    <s v=""/>
    <m/>
    <s v=""/>
    <m/>
    <x v="0"/>
  </r>
  <r>
    <x v="83"/>
    <x v="82"/>
    <x v="74"/>
    <x v="73"/>
    <x v="4"/>
    <x v="4"/>
    <s v="01INX"/>
    <s v="Instruction"/>
    <s v=""/>
    <m/>
    <s v=""/>
    <m/>
    <x v="0"/>
  </r>
  <r>
    <x v="84"/>
    <x v="83"/>
    <x v="75"/>
    <x v="74"/>
    <x v="4"/>
    <x v="4"/>
    <s v="01INX"/>
    <s v="Instruction"/>
    <s v=""/>
    <m/>
    <s v=""/>
    <m/>
    <x v="0"/>
  </r>
  <r>
    <x v="85"/>
    <x v="84"/>
    <x v="76"/>
    <x v="75"/>
    <x v="4"/>
    <x v="4"/>
    <s v="01DRF"/>
    <s v="Departmental Research Off Campus"/>
    <s v=""/>
    <m/>
    <s v=""/>
    <m/>
    <x v="0"/>
  </r>
  <r>
    <x v="86"/>
    <x v="85"/>
    <x v="77"/>
    <x v="76"/>
    <x v="4"/>
    <x v="4"/>
    <s v="01INX"/>
    <s v="Instruction"/>
    <s v=""/>
    <m/>
    <s v=""/>
    <m/>
    <x v="0"/>
  </r>
  <r>
    <x v="87"/>
    <x v="86"/>
    <x v="78"/>
    <x v="77"/>
    <x v="4"/>
    <x v="4"/>
    <s v="01UNA"/>
    <s v="Other Institutional Act &amp; Unallow"/>
    <s v=""/>
    <m/>
    <s v=""/>
    <m/>
    <x v="0"/>
  </r>
  <r>
    <x v="88"/>
    <x v="87"/>
    <x v="27"/>
    <x v="27"/>
    <x v="4"/>
    <x v="4"/>
    <s v="01INX"/>
    <s v="Instruction"/>
    <s v=""/>
    <m/>
    <s v=""/>
    <m/>
    <x v="0"/>
  </r>
  <r>
    <x v="89"/>
    <x v="88"/>
    <x v="79"/>
    <x v="78"/>
    <x v="4"/>
    <x v="4"/>
    <s v="01UNA"/>
    <s v="Other Institutional Act &amp; Unallow"/>
    <s v=""/>
    <m/>
    <s v=""/>
    <m/>
    <x v="0"/>
  </r>
  <r>
    <x v="90"/>
    <x v="89"/>
    <x v="80"/>
    <x v="79"/>
    <x v="4"/>
    <x v="4"/>
    <s v="01INX"/>
    <s v="Instruction"/>
    <s v=""/>
    <m/>
    <s v=""/>
    <m/>
    <x v="0"/>
  </r>
  <r>
    <x v="91"/>
    <x v="90"/>
    <x v="81"/>
    <x v="80"/>
    <x v="4"/>
    <x v="4"/>
    <s v="04ACS"/>
    <s v="All Academic Support except UNA"/>
    <s v=""/>
    <m/>
    <s v=""/>
    <m/>
    <x v="0"/>
  </r>
  <r>
    <x v="92"/>
    <x v="91"/>
    <x v="82"/>
    <x v="81"/>
    <x v="4"/>
    <x v="4"/>
    <s v="02ORF"/>
    <s v="Organized Research Off Campus"/>
    <s v=""/>
    <m/>
    <s v=""/>
    <m/>
    <x v="1"/>
  </r>
  <r>
    <x v="93"/>
    <x v="92"/>
    <x v="83"/>
    <x v="82"/>
    <x v="4"/>
    <x v="4"/>
    <s v="01IGO"/>
    <s v="Instruction Grants On Campus"/>
    <s v=""/>
    <m/>
    <s v=""/>
    <m/>
    <x v="2"/>
  </r>
  <r>
    <x v="94"/>
    <x v="93"/>
    <x v="84"/>
    <x v="83"/>
    <x v="4"/>
    <x v="4"/>
    <s v="01IGO"/>
    <s v="Instruction Grants On Campus"/>
    <s v=""/>
    <m/>
    <s v=""/>
    <m/>
    <x v="3"/>
  </r>
  <r>
    <x v="95"/>
    <x v="94"/>
    <x v="85"/>
    <x v="84"/>
    <x v="4"/>
    <x v="4"/>
    <s v="01INX"/>
    <s v="Instruction"/>
    <s v=""/>
    <m/>
    <s v=""/>
    <m/>
    <x v="0"/>
  </r>
  <r>
    <x v="96"/>
    <x v="95"/>
    <x v="86"/>
    <x v="85"/>
    <x v="4"/>
    <x v="4"/>
    <s v="01DRO"/>
    <s v="Departmental Research On Campus"/>
    <s v=""/>
    <m/>
    <s v=""/>
    <m/>
    <x v="0"/>
  </r>
  <r>
    <x v="97"/>
    <x v="96"/>
    <x v="87"/>
    <x v="86"/>
    <x v="4"/>
    <x v="4"/>
    <s v="03PSO"/>
    <s v="Public Service On Campus"/>
    <s v=""/>
    <m/>
    <s v=""/>
    <m/>
    <x v="4"/>
  </r>
  <r>
    <x v="98"/>
    <x v="97"/>
    <x v="88"/>
    <x v="87"/>
    <x v="4"/>
    <x v="4"/>
    <s v="01UNA"/>
    <s v="Other Institutional Act &amp; Unallow"/>
    <s v=""/>
    <m/>
    <s v=""/>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54" applyNumberFormats="0" applyBorderFormats="0" applyFontFormats="0" applyPatternFormats="0" applyAlignmentFormats="0" applyWidthHeightFormats="1" dataCaption="Values" updatedVersion="6" minRefreshableVersion="3" showDrill="0" rowGrandTotals="0" itemPrintTitles="1" createdVersion="6" indent="0" compact="0" compactData="0" multipleFieldFilters="0">
  <location ref="A26:F125" firstHeaderRow="1" firstDataRow="1" firstDataCol="6"/>
  <pivotFields count="13">
    <pivotField axis="axisRow" compact="0" outline="0" showAll="0" defaultSubtotal="0">
      <items count="99">
        <item x="27"/>
        <item x="28"/>
        <item x="29"/>
        <item x="30"/>
        <item x="31"/>
        <item x="32"/>
        <item x="33"/>
        <item x="34"/>
        <item x="35"/>
        <item x="36"/>
        <item x="37"/>
        <item x="38"/>
        <item x="58"/>
        <item x="59"/>
        <item x="0"/>
        <item x="1"/>
        <item x="2"/>
        <item x="3"/>
        <item x="4"/>
        <item x="5"/>
        <item x="6"/>
        <item x="7"/>
        <item x="8"/>
        <item x="9"/>
        <item x="10"/>
        <item x="11"/>
        <item x="12"/>
        <item x="13"/>
        <item x="14"/>
        <item x="15"/>
        <item x="16"/>
        <item x="17"/>
        <item x="18"/>
        <item x="19"/>
        <item x="20"/>
        <item x="21"/>
        <item x="22"/>
        <item x="23"/>
        <item x="24"/>
        <item x="25"/>
        <item x="26"/>
        <item x="39"/>
        <item x="40"/>
        <item x="41"/>
        <item x="42"/>
        <item x="43"/>
        <item x="44"/>
        <item x="45"/>
        <item x="46"/>
        <item x="47"/>
        <item x="48"/>
        <item x="49"/>
        <item x="50"/>
        <item x="51"/>
        <item x="52"/>
        <item x="53"/>
        <item x="54"/>
        <item x="55"/>
        <item x="56"/>
        <item x="57"/>
        <item x="60"/>
        <item x="61"/>
        <item x="62"/>
        <item x="63"/>
        <item x="64"/>
        <item x="65"/>
        <item x="66"/>
        <item x="67"/>
        <item x="68"/>
        <item x="69"/>
        <item x="70"/>
        <item x="71"/>
        <item x="72"/>
        <item x="73"/>
        <item x="74"/>
        <item x="75"/>
        <item x="76"/>
        <item x="77"/>
        <item x="78"/>
        <item x="79"/>
        <item x="80"/>
        <item x="81"/>
        <item x="82"/>
        <item x="98"/>
        <item x="97"/>
        <item x="96"/>
        <item x="83"/>
        <item x="84"/>
        <item x="85"/>
        <item x="86"/>
        <item x="87"/>
        <item x="88"/>
        <item x="89"/>
        <item x="90"/>
        <item x="91"/>
        <item x="92"/>
        <item x="93"/>
        <item x="94"/>
        <item x="95"/>
      </items>
    </pivotField>
    <pivotField axis="axisRow" compact="0" outline="0" showAll="0" defaultSubtotal="0">
      <items count="98">
        <item x="69"/>
        <item x="75"/>
        <item x="72"/>
        <item x="80"/>
        <item x="81"/>
        <item x="78"/>
        <item x="76"/>
        <item x="55"/>
        <item x="74"/>
        <item x="51"/>
        <item x="5"/>
        <item x="42"/>
        <item x="96"/>
        <item x="56"/>
        <item x="36"/>
        <item x="33"/>
        <item x="15"/>
        <item x="57"/>
        <item x="87"/>
        <item x="34"/>
        <item x="27"/>
        <item x="86"/>
        <item x="90"/>
        <item x="38"/>
        <item x="94"/>
        <item x="32"/>
        <item x="84"/>
        <item x="2"/>
        <item x="6"/>
        <item x="26"/>
        <item x="59"/>
        <item x="35"/>
        <item x="16"/>
        <item x="44"/>
        <item x="43"/>
        <item x="58"/>
        <item x="31"/>
        <item x="30"/>
        <item x="53"/>
        <item x="24"/>
        <item x="46"/>
        <item x="61"/>
        <item x="11"/>
        <item x="45"/>
        <item x="7"/>
        <item x="88"/>
        <item x="82"/>
        <item x="97"/>
        <item x="17"/>
        <item x="25"/>
        <item x="62"/>
        <item x="10"/>
        <item x="18"/>
        <item x="49"/>
        <item x="95"/>
        <item x="9"/>
        <item x="8"/>
        <item x="91"/>
        <item x="68"/>
        <item x="54"/>
        <item x="50"/>
        <item x="39"/>
        <item x="47"/>
        <item x="20"/>
        <item x="1"/>
        <item x="93"/>
        <item x="19"/>
        <item x="73"/>
        <item x="92"/>
        <item x="71"/>
        <item x="83"/>
        <item x="65"/>
        <item x="67"/>
        <item x="70"/>
        <item x="89"/>
        <item x="63"/>
        <item x="64"/>
        <item x="66"/>
        <item x="60"/>
        <item x="3"/>
        <item x="13"/>
        <item x="12"/>
        <item x="22"/>
        <item x="21"/>
        <item x="28"/>
        <item x="79"/>
        <item x="23"/>
        <item x="29"/>
        <item x="52"/>
        <item x="4"/>
        <item x="37"/>
        <item x="77"/>
        <item x="48"/>
        <item x="85"/>
        <item x="0"/>
        <item x="40"/>
        <item x="41"/>
        <item x="14"/>
      </items>
    </pivotField>
    <pivotField axis="axisRow" compact="0" outline="0" showAll="0" defaultSubtotal="0">
      <items count="89">
        <item x="27"/>
        <item x="86"/>
        <item x="28"/>
        <item x="29"/>
        <item x="30"/>
        <item x="76"/>
        <item x="56"/>
        <item x="77"/>
        <item x="75"/>
        <item x="57"/>
        <item x="78"/>
        <item x="54"/>
        <item x="51"/>
        <item x="61"/>
        <item x="50"/>
        <item x="49"/>
        <item x="48"/>
        <item x="47"/>
        <item x="73"/>
        <item x="55"/>
        <item x="60"/>
        <item x="85"/>
        <item x="46"/>
        <item x="72"/>
        <item x="59"/>
        <item x="74"/>
        <item x="45"/>
        <item x="44"/>
        <item x="42"/>
        <item x="41"/>
        <item x="40"/>
        <item x="39"/>
        <item x="38"/>
        <item x="37"/>
        <item x="36"/>
        <item x="35"/>
        <item x="34"/>
        <item x="33"/>
        <item x="26"/>
        <item x="25"/>
        <item x="24"/>
        <item x="23"/>
        <item x="22"/>
        <item x="21"/>
        <item x="20"/>
        <item x="19"/>
        <item x="18"/>
        <item x="17"/>
        <item x="16"/>
        <item x="15"/>
        <item x="14"/>
        <item x="13"/>
        <item x="12"/>
        <item x="11"/>
        <item x="10"/>
        <item x="9"/>
        <item x="8"/>
        <item x="7"/>
        <item x="6"/>
        <item x="5"/>
        <item x="4"/>
        <item x="3"/>
        <item x="2"/>
        <item x="1"/>
        <item x="0"/>
        <item x="53"/>
        <item x="52"/>
        <item x="32"/>
        <item x="31"/>
        <item x="71"/>
        <item x="70"/>
        <item x="69"/>
        <item x="68"/>
        <item x="67"/>
        <item x="66"/>
        <item x="65"/>
        <item x="64"/>
        <item x="63"/>
        <item x="62"/>
        <item x="81"/>
        <item x="58"/>
        <item x="80"/>
        <item x="79"/>
        <item x="88"/>
        <item x="43"/>
        <item x="84"/>
        <item x="83"/>
        <item x="82"/>
        <item x="87"/>
      </items>
    </pivotField>
    <pivotField axis="axisRow" compact="0" outline="0" showAll="0" defaultSubtotal="0">
      <items count="88">
        <item x="66"/>
        <item x="63"/>
        <item x="72"/>
        <item x="69"/>
        <item x="67"/>
        <item x="71"/>
        <item x="49"/>
        <item x="65"/>
        <item x="45"/>
        <item x="5"/>
        <item x="36"/>
        <item x="86"/>
        <item x="50"/>
        <item x="15"/>
        <item x="77"/>
        <item x="80"/>
        <item x="32"/>
        <item x="84"/>
        <item x="75"/>
        <item x="2"/>
        <item x="6"/>
        <item x="26"/>
        <item x="53"/>
        <item x="16"/>
        <item x="38"/>
        <item x="37"/>
        <item x="52"/>
        <item x="47"/>
        <item x="30"/>
        <item x="24"/>
        <item x="85"/>
        <item x="40"/>
        <item x="11"/>
        <item x="39"/>
        <item x="7"/>
        <item x="78"/>
        <item x="73"/>
        <item x="87"/>
        <item x="17"/>
        <item x="25"/>
        <item x="55"/>
        <item x="51"/>
        <item x="10"/>
        <item x="18"/>
        <item x="43"/>
        <item x="27"/>
        <item x="9"/>
        <item x="8"/>
        <item x="81"/>
        <item x="60"/>
        <item x="48"/>
        <item x="44"/>
        <item x="33"/>
        <item x="41"/>
        <item x="20"/>
        <item x="1"/>
        <item x="83"/>
        <item x="19"/>
        <item x="64"/>
        <item x="82"/>
        <item x="62"/>
        <item x="74"/>
        <item x="58"/>
        <item x="59"/>
        <item x="61"/>
        <item x="79"/>
        <item x="56"/>
        <item x="57"/>
        <item x="54"/>
        <item x="3"/>
        <item x="13"/>
        <item x="12"/>
        <item x="22"/>
        <item x="21"/>
        <item x="28"/>
        <item x="70"/>
        <item x="23"/>
        <item x="29"/>
        <item x="46"/>
        <item x="4"/>
        <item x="31"/>
        <item x="68"/>
        <item x="42"/>
        <item x="76"/>
        <item x="0"/>
        <item x="34"/>
        <item x="35"/>
        <item x="14"/>
      </items>
    </pivotField>
    <pivotField axis="axisRow" compact="0" outline="0" showAll="0" defaultSubtotal="0">
      <items count="5">
        <item x="0"/>
        <item x="1"/>
        <item x="2"/>
        <item x="3"/>
        <item x="4"/>
      </items>
    </pivotField>
    <pivotField axis="axisRow" compact="0" outline="0" showAll="0" defaultSubtotal="0">
      <items count="5">
        <item x="3"/>
        <item x="4"/>
        <item x="0"/>
        <item x="1"/>
        <item x="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items count="6">
        <item x="3"/>
        <item x="2"/>
        <item x="1"/>
        <item x="4"/>
        <item x="0"/>
        <item t="default"/>
      </items>
    </pivotField>
  </pivotFields>
  <rowFields count="6">
    <field x="1"/>
    <field x="0"/>
    <field x="2"/>
    <field x="3"/>
    <field x="4"/>
    <field x="5"/>
  </rowFields>
  <rowItems count="99">
    <i>
      <x/>
      <x v="70"/>
      <x/>
      <x v="45"/>
      <x v="3"/>
      <x/>
    </i>
    <i>
      <x v="1"/>
      <x v="76"/>
      <x v="73"/>
      <x/>
      <x v="3"/>
      <x/>
    </i>
    <i>
      <x v="2"/>
      <x v="73"/>
      <x v="76"/>
      <x v="1"/>
      <x v="3"/>
      <x/>
    </i>
    <i>
      <x v="3"/>
      <x v="81"/>
      <x v="23"/>
      <x v="5"/>
      <x v="3"/>
      <x/>
    </i>
    <i>
      <x v="4"/>
      <x v="82"/>
      <x v="18"/>
      <x v="2"/>
      <x v="3"/>
      <x/>
    </i>
    <i>
      <x v="5"/>
      <x v="79"/>
      <x v="70"/>
      <x v="3"/>
      <x v="3"/>
      <x/>
    </i>
    <i>
      <x v="6"/>
      <x v="77"/>
      <x v="72"/>
      <x v="4"/>
      <x v="3"/>
      <x/>
    </i>
    <i>
      <x v="7"/>
      <x v="57"/>
      <x v="15"/>
      <x v="6"/>
      <x/>
      <x v="2"/>
    </i>
    <i>
      <x v="8"/>
      <x v="75"/>
      <x v="74"/>
      <x v="7"/>
      <x v="3"/>
      <x/>
    </i>
    <i>
      <x v="9"/>
      <x v="53"/>
      <x v="26"/>
      <x v="8"/>
      <x/>
      <x v="2"/>
    </i>
    <i>
      <x v="10"/>
      <x v="19"/>
      <x v="59"/>
      <x v="9"/>
      <x/>
      <x v="2"/>
    </i>
    <i>
      <x v="11"/>
      <x v="44"/>
      <x v="34"/>
      <x v="10"/>
      <x/>
      <x v="2"/>
    </i>
    <i>
      <x v="12"/>
      <x v="84"/>
      <x v="88"/>
      <x v="11"/>
      <x v="4"/>
      <x v="1"/>
    </i>
    <i>
      <x v="13"/>
      <x v="58"/>
      <x v="14"/>
      <x v="12"/>
      <x/>
      <x v="2"/>
    </i>
    <i>
      <x v="14"/>
      <x v="9"/>
      <x/>
      <x v="45"/>
      <x/>
      <x v="2"/>
    </i>
    <i>
      <x v="15"/>
      <x v="6"/>
      <x/>
      <x v="45"/>
      <x/>
      <x v="2"/>
    </i>
    <i>
      <x v="16"/>
      <x v="29"/>
      <x v="49"/>
      <x v="13"/>
      <x/>
      <x v="2"/>
    </i>
    <i>
      <x v="17"/>
      <x v="59"/>
      <x v="12"/>
      <x v="41"/>
      <x/>
      <x v="2"/>
    </i>
    <i>
      <x v="18"/>
      <x v="91"/>
      <x/>
      <x v="45"/>
      <x v="4"/>
      <x v="1"/>
    </i>
    <i>
      <x v="19"/>
      <x v="7"/>
      <x/>
      <x v="45"/>
      <x/>
      <x v="2"/>
    </i>
    <i>
      <x v="20"/>
      <x/>
      <x/>
      <x v="45"/>
      <x/>
      <x v="2"/>
    </i>
    <i>
      <x v="21"/>
      <x v="90"/>
      <x v="10"/>
      <x v="14"/>
      <x v="4"/>
      <x v="1"/>
    </i>
    <i>
      <x v="22"/>
      <x v="94"/>
      <x v="79"/>
      <x v="15"/>
      <x v="4"/>
      <x v="1"/>
    </i>
    <i>
      <x v="23"/>
      <x v="11"/>
      <x v="67"/>
      <x v="16"/>
      <x/>
      <x v="2"/>
    </i>
    <i>
      <x v="24"/>
      <x v="98"/>
      <x v="21"/>
      <x v="17"/>
      <x v="4"/>
      <x v="1"/>
    </i>
    <i>
      <x v="25"/>
      <x v="5"/>
      <x/>
      <x v="45"/>
      <x/>
      <x v="2"/>
    </i>
    <i>
      <x v="26"/>
      <x v="88"/>
      <x v="5"/>
      <x v="18"/>
      <x v="4"/>
      <x v="1"/>
    </i>
    <i>
      <x v="27"/>
      <x v="16"/>
      <x v="62"/>
      <x v="19"/>
      <x/>
      <x v="2"/>
    </i>
    <i>
      <x v="28"/>
      <x v="20"/>
      <x v="58"/>
      <x v="20"/>
      <x/>
      <x v="2"/>
    </i>
    <i>
      <x v="29"/>
      <x v="40"/>
      <x v="38"/>
      <x v="21"/>
      <x/>
      <x v="2"/>
    </i>
    <i>
      <x v="30"/>
      <x v="13"/>
      <x v="65"/>
      <x v="22"/>
      <x/>
      <x v="2"/>
    </i>
    <i>
      <x v="31"/>
      <x v="8"/>
      <x/>
      <x v="45"/>
      <x/>
      <x v="2"/>
    </i>
    <i>
      <x v="32"/>
      <x v="30"/>
      <x v="48"/>
      <x v="23"/>
      <x/>
      <x v="2"/>
    </i>
    <i>
      <x v="33"/>
      <x v="46"/>
      <x v="32"/>
      <x v="24"/>
      <x/>
      <x v="2"/>
    </i>
    <i>
      <x v="34"/>
      <x v="45"/>
      <x v="33"/>
      <x v="25"/>
      <x/>
      <x v="2"/>
    </i>
    <i>
      <x v="35"/>
      <x v="12"/>
      <x v="66"/>
      <x v="26"/>
      <x/>
      <x v="2"/>
    </i>
    <i>
      <x v="36"/>
      <x v="4"/>
      <x/>
      <x v="45"/>
      <x/>
      <x v="2"/>
    </i>
    <i>
      <x v="37"/>
      <x v="3"/>
      <x v="4"/>
      <x v="28"/>
      <x/>
      <x v="2"/>
    </i>
    <i>
      <x v="38"/>
      <x v="55"/>
      <x v="17"/>
      <x v="27"/>
      <x/>
      <x v="2"/>
    </i>
    <i>
      <x v="39"/>
      <x v="38"/>
      <x v="40"/>
      <x v="29"/>
      <x/>
      <x v="2"/>
    </i>
    <i>
      <x v="40"/>
      <x v="48"/>
      <x v="30"/>
      <x v="31"/>
      <x/>
      <x v="2"/>
    </i>
    <i>
      <x v="41"/>
      <x v="61"/>
      <x/>
      <x v="45"/>
      <x v="1"/>
      <x v="3"/>
    </i>
    <i>
      <x v="42"/>
      <x v="25"/>
      <x v="53"/>
      <x v="32"/>
      <x/>
      <x v="2"/>
    </i>
    <i>
      <x v="43"/>
      <x v="47"/>
      <x v="31"/>
      <x v="33"/>
      <x/>
      <x v="2"/>
    </i>
    <i>
      <x v="44"/>
      <x v="21"/>
      <x v="57"/>
      <x v="34"/>
      <x/>
      <x v="2"/>
    </i>
    <i>
      <x v="45"/>
      <x v="92"/>
      <x v="82"/>
      <x v="35"/>
      <x v="4"/>
      <x v="1"/>
    </i>
    <i>
      <x v="46"/>
      <x v="86"/>
      <x v="25"/>
      <x v="36"/>
      <x v="4"/>
      <x v="1"/>
    </i>
    <i>
      <x v="47"/>
      <x v="83"/>
      <x v="83"/>
      <x v="37"/>
      <x v="4"/>
      <x v="1"/>
    </i>
    <i>
      <x v="48"/>
      <x v="31"/>
      <x v="47"/>
      <x v="38"/>
      <x/>
      <x v="2"/>
    </i>
    <i>
      <x v="49"/>
      <x v="39"/>
      <x v="39"/>
      <x v="39"/>
      <x/>
      <x v="2"/>
    </i>
    <i>
      <x v="50"/>
      <x v="62"/>
      <x v="19"/>
      <x v="40"/>
      <x v="1"/>
      <x v="3"/>
    </i>
    <i>
      <x v="51"/>
      <x v="24"/>
      <x v="54"/>
      <x v="42"/>
      <x/>
      <x v="2"/>
    </i>
    <i>
      <x v="52"/>
      <x v="32"/>
      <x v="46"/>
      <x v="43"/>
      <x/>
      <x v="2"/>
    </i>
    <i>
      <x v="53"/>
      <x v="51"/>
      <x v="84"/>
      <x v="44"/>
      <x/>
      <x v="2"/>
    </i>
    <i>
      <x v="54"/>
      <x v="85"/>
      <x v="1"/>
      <x v="30"/>
      <x v="4"/>
      <x v="1"/>
    </i>
    <i>
      <x v="55"/>
      <x v="23"/>
      <x v="55"/>
      <x v="46"/>
      <x/>
      <x v="2"/>
    </i>
    <i>
      <x v="56"/>
      <x v="22"/>
      <x v="56"/>
      <x v="47"/>
      <x/>
      <x v="2"/>
    </i>
    <i>
      <x v="57"/>
      <x v="95"/>
      <x v="87"/>
      <x v="48"/>
      <x v="4"/>
      <x v="1"/>
    </i>
    <i>
      <x v="58"/>
      <x v="69"/>
      <x v="13"/>
      <x v="49"/>
      <x v="3"/>
      <x/>
    </i>
    <i>
      <x v="59"/>
      <x v="56"/>
      <x v="16"/>
      <x v="50"/>
      <x/>
      <x v="2"/>
    </i>
    <i>
      <x v="60"/>
      <x v="52"/>
      <x v="27"/>
      <x v="51"/>
      <x/>
      <x v="2"/>
    </i>
    <i>
      <x v="61"/>
      <x v="41"/>
      <x v="37"/>
      <x v="52"/>
      <x/>
      <x v="2"/>
    </i>
    <i>
      <x v="62"/>
      <x v="49"/>
      <x v="29"/>
      <x v="53"/>
      <x/>
      <x v="2"/>
    </i>
    <i>
      <x v="63"/>
      <x v="34"/>
      <x v="44"/>
      <x v="54"/>
      <x/>
      <x v="2"/>
    </i>
    <i>
      <x v="64"/>
      <x v="15"/>
      <x v="63"/>
      <x v="55"/>
      <x/>
      <x v="2"/>
    </i>
    <i>
      <x v="65"/>
      <x v="97"/>
      <x v="85"/>
      <x v="56"/>
      <x v="4"/>
      <x v="1"/>
    </i>
    <i>
      <x v="66"/>
      <x v="33"/>
      <x v="45"/>
      <x v="57"/>
      <x/>
      <x v="2"/>
    </i>
    <i>
      <x v="67"/>
      <x v="74"/>
      <x v="75"/>
      <x v="58"/>
      <x v="3"/>
      <x/>
    </i>
    <i>
      <x v="68"/>
      <x v="96"/>
      <x v="86"/>
      <x v="59"/>
      <x v="4"/>
      <x v="1"/>
    </i>
    <i>
      <x v="69"/>
      <x v="72"/>
      <x v="77"/>
      <x v="60"/>
      <x v="3"/>
      <x/>
    </i>
    <i>
      <x v="70"/>
      <x v="87"/>
      <x v="8"/>
      <x v="61"/>
      <x v="4"/>
      <x v="1"/>
    </i>
    <i>
      <x v="71"/>
      <x v="66"/>
      <x v="80"/>
      <x v="62"/>
      <x v="2"/>
      <x v="4"/>
    </i>
    <i>
      <x v="72"/>
      <x v="68"/>
      <x v="20"/>
      <x v="63"/>
      <x v="2"/>
      <x v="4"/>
    </i>
    <i>
      <x v="73"/>
      <x v="71"/>
      <x v="78"/>
      <x v="64"/>
      <x v="3"/>
      <x/>
    </i>
    <i>
      <x v="74"/>
      <x v="93"/>
      <x v="81"/>
      <x v="65"/>
      <x v="4"/>
      <x v="1"/>
    </i>
    <i>
      <x v="75"/>
      <x v="63"/>
      <x v="6"/>
      <x v="66"/>
      <x v="2"/>
      <x v="4"/>
    </i>
    <i>
      <x v="76"/>
      <x v="64"/>
      <x v="9"/>
      <x v="67"/>
      <x v="2"/>
      <x v="4"/>
    </i>
    <i r="1">
      <x v="65"/>
      <x/>
      <x v="45"/>
      <x v="2"/>
      <x v="4"/>
    </i>
    <i>
      <x v="77"/>
      <x v="67"/>
      <x v="24"/>
      <x v="67"/>
      <x v="2"/>
      <x v="4"/>
    </i>
    <i>
      <x v="78"/>
      <x v="60"/>
      <x v="11"/>
      <x v="68"/>
      <x v="1"/>
      <x v="3"/>
    </i>
    <i>
      <x v="79"/>
      <x v="17"/>
      <x v="61"/>
      <x v="69"/>
      <x/>
      <x v="2"/>
    </i>
    <i>
      <x v="80"/>
      <x v="27"/>
      <x v="51"/>
      <x v="70"/>
      <x/>
      <x v="2"/>
    </i>
    <i>
      <x v="81"/>
      <x v="26"/>
      <x v="52"/>
      <x v="71"/>
      <x/>
      <x v="2"/>
    </i>
    <i>
      <x v="82"/>
      <x v="36"/>
      <x v="42"/>
      <x v="72"/>
      <x/>
      <x v="2"/>
    </i>
    <i>
      <x v="83"/>
      <x v="35"/>
      <x v="43"/>
      <x v="73"/>
      <x/>
      <x v="2"/>
    </i>
    <i>
      <x v="84"/>
      <x v="1"/>
      <x v="2"/>
      <x v="74"/>
      <x/>
      <x v="2"/>
    </i>
    <i>
      <x v="85"/>
      <x v="80"/>
      <x v="69"/>
      <x v="75"/>
      <x v="3"/>
      <x/>
    </i>
    <i>
      <x v="86"/>
      <x v="37"/>
      <x v="41"/>
      <x v="76"/>
      <x/>
      <x v="2"/>
    </i>
    <i>
      <x v="87"/>
      <x v="2"/>
      <x v="3"/>
      <x v="77"/>
      <x/>
      <x v="2"/>
    </i>
    <i>
      <x v="88"/>
      <x v="54"/>
      <x v="22"/>
      <x v="78"/>
      <x/>
      <x v="2"/>
    </i>
    <i>
      <x v="89"/>
      <x v="18"/>
      <x v="60"/>
      <x v="79"/>
      <x/>
      <x v="2"/>
    </i>
    <i>
      <x v="90"/>
      <x v="10"/>
      <x v="68"/>
      <x v="80"/>
      <x/>
      <x v="2"/>
    </i>
    <i>
      <x v="91"/>
      <x v="78"/>
      <x v="71"/>
      <x v="81"/>
      <x v="3"/>
      <x/>
    </i>
    <i>
      <x v="92"/>
      <x v="50"/>
      <x v="28"/>
      <x v="82"/>
      <x/>
      <x v="2"/>
    </i>
    <i>
      <x v="93"/>
      <x v="89"/>
      <x v="7"/>
      <x v="83"/>
      <x v="4"/>
      <x v="1"/>
    </i>
    <i>
      <x v="94"/>
      <x v="14"/>
      <x v="64"/>
      <x v="84"/>
      <x/>
      <x v="2"/>
    </i>
    <i>
      <x v="95"/>
      <x v="42"/>
      <x v="36"/>
      <x v="85"/>
      <x/>
      <x v="2"/>
    </i>
    <i>
      <x v="96"/>
      <x v="43"/>
      <x v="35"/>
      <x v="86"/>
      <x/>
      <x v="2"/>
    </i>
    <i>
      <x v="97"/>
      <x v="28"/>
      <x v="50"/>
      <x v="87"/>
      <x/>
      <x v="2"/>
    </i>
  </rowItems>
  <colItems count="1">
    <i/>
  </colItems>
  <pivotTableStyleInfo name="PivotStyleDark1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Index_Code" sourceName="Index Code">
  <pivotTables>
    <pivotTable tabId="2" name="PivotTable1"/>
  </pivotTables>
  <data>
    <tabular pivotCacheId="1">
      <items count="99">
        <i x="27" s="1"/>
        <i x="28" s="1"/>
        <i x="29" s="1"/>
        <i x="30" s="1"/>
        <i x="31" s="1"/>
        <i x="32" s="1"/>
        <i x="33" s="1"/>
        <i x="34" s="1"/>
        <i x="35" s="1"/>
        <i x="36" s="1"/>
        <i x="37" s="1"/>
        <i x="38" s="1"/>
        <i x="58" s="1"/>
        <i x="59" s="1"/>
        <i x="0" s="1"/>
        <i x="1" s="1"/>
        <i x="2" s="1"/>
        <i x="3" s="1"/>
        <i x="4" s="1"/>
        <i x="5" s="1"/>
        <i x="6" s="1"/>
        <i x="7" s="1"/>
        <i x="8" s="1"/>
        <i x="9" s="1"/>
        <i x="10" s="1"/>
        <i x="11" s="1"/>
        <i x="12" s="1"/>
        <i x="13" s="1"/>
        <i x="14" s="1"/>
        <i x="15" s="1"/>
        <i x="16" s="1"/>
        <i x="17" s="1"/>
        <i x="18" s="1"/>
        <i x="19" s="1"/>
        <i x="20" s="1"/>
        <i x="21" s="1"/>
        <i x="22" s="1"/>
        <i x="23" s="1"/>
        <i x="24" s="1"/>
        <i x="25" s="1"/>
        <i x="26" s="1"/>
        <i x="39" s="1"/>
        <i x="40" s="1"/>
        <i x="41" s="1"/>
        <i x="42" s="1"/>
        <i x="43" s="1"/>
        <i x="44" s="1"/>
        <i x="45" s="1"/>
        <i x="46" s="1"/>
        <i x="47" s="1"/>
        <i x="48" s="1"/>
        <i x="49" s="1"/>
        <i x="50" s="1"/>
        <i x="51" s="1"/>
        <i x="52" s="1"/>
        <i x="53" s="1"/>
        <i x="54" s="1"/>
        <i x="55" s="1"/>
        <i x="56" s="1"/>
        <i x="57" s="1"/>
        <i x="60" s="1"/>
        <i x="61" s="1"/>
        <i x="62" s="1"/>
        <i x="63" s="1"/>
        <i x="64" s="1"/>
        <i x="65" s="1"/>
        <i x="66" s="1"/>
        <i x="67" s="1"/>
        <i x="68" s="1"/>
        <i x="69" s="1"/>
        <i x="70" s="1"/>
        <i x="71" s="1"/>
        <i x="72" s="1"/>
        <i x="73" s="1"/>
        <i x="74" s="1"/>
        <i x="75" s="1"/>
        <i x="76" s="1"/>
        <i x="77" s="1"/>
        <i x="78" s="1"/>
        <i x="79" s="1"/>
        <i x="80" s="1"/>
        <i x="81" s="1"/>
        <i x="82" s="1"/>
        <i x="98" s="1"/>
        <i x="97" s="1"/>
        <i x="96" s="1"/>
        <i x="83" s="1"/>
        <i x="84" s="1"/>
        <i x="85" s="1"/>
        <i x="86" s="1"/>
        <i x="87" s="1"/>
        <i x="88" s="1"/>
        <i x="89" s="1"/>
        <i x="90" s="1"/>
        <i x="91" s="1"/>
        <i x="92" s="1"/>
        <i x="93" s="1"/>
        <i x="94" s="1"/>
        <i x="95"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Org_Title" sourceName="Org Title">
  <pivotTables>
    <pivotTable tabId="2" name="PivotTable1"/>
  </pivotTables>
  <data>
    <tabular pivotCacheId="1">
      <items count="5">
        <i x="3" s="1"/>
        <i x="4" s="1"/>
        <i x="0" s="1"/>
        <i x="1" s="1"/>
        <i x="2"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Grant_Code" sourceName="Grant Code">
  <pivotTables>
    <pivotTable tabId="2" name="PivotTable1"/>
  </pivotTables>
  <data>
    <tabular pivotCacheId="1">
      <items count="5">
        <i x="3" s="1"/>
        <i x="2" s="1"/>
        <i x="1" s="1"/>
        <i x="4" s="1"/>
        <i x="0"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Index Code" cache="Slicer_Index_Code" caption="Index Code" columnCount="13" style="SlicerStyleLight4" rowHeight="234950"/>
  <slicer name="Org Title" cache="Slicer_Org_Title" caption="Org Title" style="SlicerStyleLight4" rowHeight="234950"/>
  <slicer name="Grant Code" cache="Slicer_Grant_Code" caption="Grant Code" style="SlicerStyleLight4" rowHeight="234950"/>
</slicers>
</file>

<file path=xl/tables/table1.xml><?xml version="1.0" encoding="utf-8"?>
<table xmlns="http://schemas.openxmlformats.org/spreadsheetml/2006/main" id="1" name="Table1" displayName="Table1" ref="A1:M100" totalsRowShown="0">
  <autoFilter ref="A1:M100"/>
  <tableColumns count="13">
    <tableColumn id="1" name="Index Code"/>
    <tableColumn id="2" name="Index title"/>
    <tableColumn id="3" name="Fund"/>
    <tableColumn id="4" name="Fund Title"/>
    <tableColumn id="5" name="Org">
      <calculatedColumnFormula>"889"</calculatedColumnFormula>
    </tableColumn>
    <tableColumn id="6" name="Org Title"/>
    <tableColumn id="7" name="Prog"/>
    <tableColumn id="8" name="Prog Title"/>
    <tableColumn id="9" name="Actv">
      <calculatedColumnFormula>""</calculatedColumnFormula>
    </tableColumn>
    <tableColumn id="10" name="Actv Title"/>
    <tableColumn id="11" name="Locn">
      <calculatedColumnFormula>""</calculatedColumnFormula>
    </tableColumn>
    <tableColumn id="12" name="Locn Title"/>
    <tableColumn id="13" name="Grant Cod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B45" sqref="B45"/>
    </sheetView>
  </sheetViews>
  <sheetFormatPr defaultRowHeight="14.4" x14ac:dyDescent="0.3"/>
  <cols>
    <col min="1" max="1" width="12.33203125" customWidth="1"/>
    <col min="2" max="2" width="33" bestFit="1" customWidth="1"/>
    <col min="3" max="3" width="7.109375" customWidth="1"/>
    <col min="4" max="4" width="32.6640625" bestFit="1" customWidth="1"/>
    <col min="5" max="5" width="5.88671875" customWidth="1"/>
    <col min="6" max="6" width="28" bestFit="1" customWidth="1"/>
    <col min="7" max="7" width="6.77734375" bestFit="1" customWidth="1"/>
    <col min="8" max="8" width="30.33203125" bestFit="1" customWidth="1"/>
    <col min="9" max="9" width="8" bestFit="1" customWidth="1"/>
    <col min="10" max="10" width="33" bestFit="1" customWidth="1"/>
    <col min="11" max="11" width="6.88671875" customWidth="1"/>
    <col min="12" max="12" width="10.88671875" customWidth="1"/>
    <col min="13" max="13" width="12.33203125" customWidth="1"/>
  </cols>
  <sheetData>
    <row r="1" spans="1:13" x14ac:dyDescent="0.3">
      <c r="A1" t="s">
        <v>0</v>
      </c>
      <c r="B1" t="s">
        <v>1</v>
      </c>
      <c r="C1" t="s">
        <v>2</v>
      </c>
      <c r="D1" t="s">
        <v>3</v>
      </c>
      <c r="E1" t="s">
        <v>4</v>
      </c>
      <c r="F1" t="s">
        <v>5</v>
      </c>
      <c r="G1" t="s">
        <v>6</v>
      </c>
      <c r="H1" t="s">
        <v>7</v>
      </c>
      <c r="I1" t="s">
        <v>8</v>
      </c>
      <c r="J1" t="s">
        <v>9</v>
      </c>
      <c r="K1" t="s">
        <v>10</v>
      </c>
      <c r="L1" t="s">
        <v>11</v>
      </c>
      <c r="M1" t="s">
        <v>12</v>
      </c>
    </row>
    <row r="2" spans="1:13" x14ac:dyDescent="0.3">
      <c r="A2" t="str">
        <f>"785954"</f>
        <v>785954</v>
      </c>
      <c r="B2" t="s">
        <v>13</v>
      </c>
      <c r="C2" t="str">
        <f>"210520"</f>
        <v>210520</v>
      </c>
      <c r="D2" t="s">
        <v>13</v>
      </c>
      <c r="E2" t="str">
        <f t="shared" ref="E2:E33" si="0">"785"</f>
        <v>785</v>
      </c>
      <c r="F2" t="s">
        <v>14</v>
      </c>
      <c r="G2" t="str">
        <f>"01INX"</f>
        <v>01INX</v>
      </c>
      <c r="H2" t="s">
        <v>15</v>
      </c>
      <c r="I2" t="str">
        <f>""</f>
        <v/>
      </c>
      <c r="K2" t="str">
        <f>""</f>
        <v/>
      </c>
    </row>
    <row r="3" spans="1:13" x14ac:dyDescent="0.3">
      <c r="A3" t="str">
        <f>"785955"</f>
        <v>785955</v>
      </c>
      <c r="B3" t="s">
        <v>16</v>
      </c>
      <c r="C3" t="str">
        <f>"210519"</f>
        <v>210519</v>
      </c>
      <c r="D3" t="s">
        <v>16</v>
      </c>
      <c r="E3" t="str">
        <f t="shared" si="0"/>
        <v>785</v>
      </c>
      <c r="F3" t="s">
        <v>14</v>
      </c>
      <c r="G3" t="str">
        <f>"01INX"</f>
        <v>01INX</v>
      </c>
      <c r="H3" t="s">
        <v>15</v>
      </c>
      <c r="I3" t="str">
        <f>""</f>
        <v/>
      </c>
      <c r="K3" t="str">
        <f>""</f>
        <v/>
      </c>
    </row>
    <row r="4" spans="1:13" x14ac:dyDescent="0.3">
      <c r="A4" t="str">
        <f>"785956"</f>
        <v>785956</v>
      </c>
      <c r="B4" t="s">
        <v>17</v>
      </c>
      <c r="C4" t="str">
        <f>"210518"</f>
        <v>210518</v>
      </c>
      <c r="D4" t="s">
        <v>17</v>
      </c>
      <c r="E4" t="str">
        <f t="shared" si="0"/>
        <v>785</v>
      </c>
      <c r="F4" t="s">
        <v>14</v>
      </c>
      <c r="G4" t="str">
        <f>"01INX"</f>
        <v>01INX</v>
      </c>
      <c r="H4" t="s">
        <v>15</v>
      </c>
      <c r="I4" t="str">
        <f>""</f>
        <v/>
      </c>
      <c r="K4" t="str">
        <f>""</f>
        <v/>
      </c>
    </row>
    <row r="5" spans="1:13" x14ac:dyDescent="0.3">
      <c r="A5" t="str">
        <f>"785957"</f>
        <v>785957</v>
      </c>
      <c r="B5" t="s">
        <v>18</v>
      </c>
      <c r="C5" t="str">
        <f>"210517"</f>
        <v>210517</v>
      </c>
      <c r="D5" t="s">
        <v>18</v>
      </c>
      <c r="E5" t="str">
        <f t="shared" si="0"/>
        <v>785</v>
      </c>
      <c r="F5" t="s">
        <v>14</v>
      </c>
      <c r="G5" t="str">
        <f>"09SCF"</f>
        <v>09SCF</v>
      </c>
      <c r="H5" t="s">
        <v>19</v>
      </c>
      <c r="I5" t="str">
        <f>""</f>
        <v/>
      </c>
      <c r="K5" t="str">
        <f>""</f>
        <v/>
      </c>
    </row>
    <row r="6" spans="1:13" x14ac:dyDescent="0.3">
      <c r="A6" t="str">
        <f>"785958"</f>
        <v>785958</v>
      </c>
      <c r="B6" t="s">
        <v>20</v>
      </c>
      <c r="C6" t="str">
        <f>"210516"</f>
        <v>210516</v>
      </c>
      <c r="D6" t="s">
        <v>20</v>
      </c>
      <c r="E6" t="str">
        <f t="shared" si="0"/>
        <v>785</v>
      </c>
      <c r="F6" t="s">
        <v>14</v>
      </c>
      <c r="G6" t="str">
        <f>"09SCF"</f>
        <v>09SCF</v>
      </c>
      <c r="H6" t="s">
        <v>19</v>
      </c>
      <c r="I6" t="str">
        <f>""</f>
        <v/>
      </c>
      <c r="K6" t="str">
        <f>""</f>
        <v/>
      </c>
    </row>
    <row r="7" spans="1:13" x14ac:dyDescent="0.3">
      <c r="A7" t="str">
        <f>"785959"</f>
        <v>785959</v>
      </c>
      <c r="B7" t="s">
        <v>21</v>
      </c>
      <c r="C7" t="str">
        <f>"210515"</f>
        <v>210515</v>
      </c>
      <c r="D7" t="s">
        <v>21</v>
      </c>
      <c r="E7" t="str">
        <f t="shared" si="0"/>
        <v>785</v>
      </c>
      <c r="F7" t="s">
        <v>14</v>
      </c>
      <c r="G7" t="str">
        <f>"01INX"</f>
        <v>01INX</v>
      </c>
      <c r="H7" t="s">
        <v>15</v>
      </c>
      <c r="I7" t="str">
        <f>""</f>
        <v/>
      </c>
      <c r="K7" t="str">
        <f>""</f>
        <v/>
      </c>
    </row>
    <row r="8" spans="1:13" x14ac:dyDescent="0.3">
      <c r="A8" t="str">
        <f>"785960"</f>
        <v>785960</v>
      </c>
      <c r="B8" t="s">
        <v>22</v>
      </c>
      <c r="C8" t="str">
        <f>"210514"</f>
        <v>210514</v>
      </c>
      <c r="D8" t="s">
        <v>22</v>
      </c>
      <c r="E8" t="str">
        <f t="shared" si="0"/>
        <v>785</v>
      </c>
      <c r="F8" t="s">
        <v>14</v>
      </c>
      <c r="G8" t="str">
        <f>"01UNA"</f>
        <v>01UNA</v>
      </c>
      <c r="H8" t="s">
        <v>23</v>
      </c>
      <c r="I8" t="str">
        <f>""</f>
        <v/>
      </c>
      <c r="K8" t="str">
        <f>""</f>
        <v/>
      </c>
    </row>
    <row r="9" spans="1:13" x14ac:dyDescent="0.3">
      <c r="A9" t="str">
        <f>"785961"</f>
        <v>785961</v>
      </c>
      <c r="B9" t="s">
        <v>24</v>
      </c>
      <c r="C9" t="str">
        <f>"210513"</f>
        <v>210513</v>
      </c>
      <c r="D9" t="s">
        <v>24</v>
      </c>
      <c r="E9" t="str">
        <f t="shared" si="0"/>
        <v>785</v>
      </c>
      <c r="F9" t="s">
        <v>14</v>
      </c>
      <c r="G9" t="str">
        <f>"09SCF"</f>
        <v>09SCF</v>
      </c>
      <c r="H9" t="s">
        <v>19</v>
      </c>
      <c r="I9" t="str">
        <f>""</f>
        <v/>
      </c>
      <c r="K9" t="str">
        <f>""</f>
        <v/>
      </c>
    </row>
    <row r="10" spans="1:13" x14ac:dyDescent="0.3">
      <c r="A10" t="str">
        <f>"785962"</f>
        <v>785962</v>
      </c>
      <c r="B10" t="s">
        <v>25</v>
      </c>
      <c r="C10" t="str">
        <f>"210512"</f>
        <v>210512</v>
      </c>
      <c r="D10" t="s">
        <v>25</v>
      </c>
      <c r="E10" t="str">
        <f t="shared" si="0"/>
        <v>785</v>
      </c>
      <c r="F10" t="s">
        <v>14</v>
      </c>
      <c r="G10" t="str">
        <f>"07GAX"</f>
        <v>07GAX</v>
      </c>
      <c r="H10" t="s">
        <v>26</v>
      </c>
      <c r="I10" t="str">
        <f>""</f>
        <v/>
      </c>
      <c r="K10" t="str">
        <f>""</f>
        <v/>
      </c>
    </row>
    <row r="11" spans="1:13" x14ac:dyDescent="0.3">
      <c r="A11" t="str">
        <f>"785963"</f>
        <v>785963</v>
      </c>
      <c r="B11" t="s">
        <v>27</v>
      </c>
      <c r="C11" t="str">
        <f>"210511"</f>
        <v>210511</v>
      </c>
      <c r="D11" t="s">
        <v>27</v>
      </c>
      <c r="E11" t="str">
        <f t="shared" si="0"/>
        <v>785</v>
      </c>
      <c r="F11" t="s">
        <v>14</v>
      </c>
      <c r="G11" t="str">
        <f>"01INX"</f>
        <v>01INX</v>
      </c>
      <c r="H11" t="s">
        <v>15</v>
      </c>
      <c r="I11" t="str">
        <f>""</f>
        <v/>
      </c>
      <c r="K11" t="str">
        <f>""</f>
        <v/>
      </c>
    </row>
    <row r="12" spans="1:13" x14ac:dyDescent="0.3">
      <c r="A12" t="str">
        <f>"785964"</f>
        <v>785964</v>
      </c>
      <c r="B12" t="s">
        <v>28</v>
      </c>
      <c r="C12" t="str">
        <f>"210510"</f>
        <v>210510</v>
      </c>
      <c r="D12" t="s">
        <v>28</v>
      </c>
      <c r="E12" t="str">
        <f t="shared" si="0"/>
        <v>785</v>
      </c>
      <c r="F12" t="s">
        <v>14</v>
      </c>
      <c r="G12" t="str">
        <f>"01UNA"</f>
        <v>01UNA</v>
      </c>
      <c r="H12" t="s">
        <v>23</v>
      </c>
      <c r="I12" t="str">
        <f>""</f>
        <v/>
      </c>
      <c r="K12" t="str">
        <f>""</f>
        <v/>
      </c>
    </row>
    <row r="13" spans="1:13" x14ac:dyDescent="0.3">
      <c r="A13" t="str">
        <f>"785965"</f>
        <v>785965</v>
      </c>
      <c r="B13" t="s">
        <v>29</v>
      </c>
      <c r="C13" t="str">
        <f>"210509"</f>
        <v>210509</v>
      </c>
      <c r="D13" t="s">
        <v>29</v>
      </c>
      <c r="E13" t="str">
        <f t="shared" si="0"/>
        <v>785</v>
      </c>
      <c r="F13" t="s">
        <v>14</v>
      </c>
      <c r="G13" t="str">
        <f>"01UNA"</f>
        <v>01UNA</v>
      </c>
      <c r="H13" t="s">
        <v>23</v>
      </c>
      <c r="I13" t="str">
        <f>""</f>
        <v/>
      </c>
      <c r="K13" t="str">
        <f>""</f>
        <v/>
      </c>
    </row>
    <row r="14" spans="1:13" x14ac:dyDescent="0.3">
      <c r="A14" t="str">
        <f>"785966"</f>
        <v>785966</v>
      </c>
      <c r="B14" t="s">
        <v>30</v>
      </c>
      <c r="C14" t="str">
        <f>"210508"</f>
        <v>210508</v>
      </c>
      <c r="D14" t="s">
        <v>30</v>
      </c>
      <c r="E14" t="str">
        <f t="shared" si="0"/>
        <v>785</v>
      </c>
      <c r="F14" t="s">
        <v>14</v>
      </c>
      <c r="G14" t="str">
        <f>"01UNA"</f>
        <v>01UNA</v>
      </c>
      <c r="H14" t="s">
        <v>23</v>
      </c>
      <c r="I14" t="str">
        <f>""</f>
        <v/>
      </c>
      <c r="K14" t="str">
        <f>""</f>
        <v/>
      </c>
    </row>
    <row r="15" spans="1:13" x14ac:dyDescent="0.3">
      <c r="A15" t="str">
        <f>"785967"</f>
        <v>785967</v>
      </c>
      <c r="B15" t="s">
        <v>31</v>
      </c>
      <c r="C15" t="str">
        <f>"210507"</f>
        <v>210507</v>
      </c>
      <c r="D15" t="s">
        <v>31</v>
      </c>
      <c r="E15" t="str">
        <f t="shared" si="0"/>
        <v>785</v>
      </c>
      <c r="F15" t="s">
        <v>14</v>
      </c>
      <c r="G15" t="str">
        <f>"01UNA"</f>
        <v>01UNA</v>
      </c>
      <c r="H15" t="s">
        <v>23</v>
      </c>
      <c r="I15" t="str">
        <f>""</f>
        <v/>
      </c>
      <c r="K15" t="str">
        <f>""</f>
        <v/>
      </c>
    </row>
    <row r="16" spans="1:13" x14ac:dyDescent="0.3">
      <c r="A16" t="str">
        <f>"785968"</f>
        <v>785968</v>
      </c>
      <c r="B16" t="s">
        <v>32</v>
      </c>
      <c r="C16" t="str">
        <f>"210506"</f>
        <v>210506</v>
      </c>
      <c r="D16" t="s">
        <v>32</v>
      </c>
      <c r="E16" t="str">
        <f t="shared" si="0"/>
        <v>785</v>
      </c>
      <c r="F16" t="s">
        <v>14</v>
      </c>
      <c r="G16" t="str">
        <f>"01INX"</f>
        <v>01INX</v>
      </c>
      <c r="H16" t="s">
        <v>15</v>
      </c>
      <c r="I16" t="str">
        <f>""</f>
        <v/>
      </c>
      <c r="K16" t="str">
        <f>""</f>
        <v/>
      </c>
    </row>
    <row r="17" spans="1:11" x14ac:dyDescent="0.3">
      <c r="A17" t="str">
        <f>"785969"</f>
        <v>785969</v>
      </c>
      <c r="B17" t="s">
        <v>33</v>
      </c>
      <c r="C17" t="str">
        <f>"210505"</f>
        <v>210505</v>
      </c>
      <c r="D17" t="s">
        <v>33</v>
      </c>
      <c r="E17" t="str">
        <f t="shared" si="0"/>
        <v>785</v>
      </c>
      <c r="F17" t="s">
        <v>14</v>
      </c>
      <c r="G17" t="str">
        <f>"01INX"</f>
        <v>01INX</v>
      </c>
      <c r="H17" t="s">
        <v>15</v>
      </c>
      <c r="I17" t="str">
        <f>""</f>
        <v/>
      </c>
      <c r="K17" t="str">
        <f>""</f>
        <v/>
      </c>
    </row>
    <row r="18" spans="1:11" x14ac:dyDescent="0.3">
      <c r="A18" t="str">
        <f>"785970"</f>
        <v>785970</v>
      </c>
      <c r="B18" t="s">
        <v>34</v>
      </c>
      <c r="C18" t="str">
        <f>"210504"</f>
        <v>210504</v>
      </c>
      <c r="D18" t="s">
        <v>34</v>
      </c>
      <c r="E18" t="str">
        <f t="shared" si="0"/>
        <v>785</v>
      </c>
      <c r="F18" t="s">
        <v>14</v>
      </c>
      <c r="G18" t="str">
        <f>"04ACS"</f>
        <v>04ACS</v>
      </c>
      <c r="H18" t="s">
        <v>35</v>
      </c>
      <c r="I18" t="str">
        <f>""</f>
        <v/>
      </c>
      <c r="K18" t="str">
        <f>""</f>
        <v/>
      </c>
    </row>
    <row r="19" spans="1:11" x14ac:dyDescent="0.3">
      <c r="A19" t="str">
        <f>"785971"</f>
        <v>785971</v>
      </c>
      <c r="B19" t="s">
        <v>36</v>
      </c>
      <c r="C19" t="str">
        <f>"210503"</f>
        <v>210503</v>
      </c>
      <c r="D19" t="s">
        <v>36</v>
      </c>
      <c r="E19" t="str">
        <f t="shared" si="0"/>
        <v>785</v>
      </c>
      <c r="F19" t="s">
        <v>14</v>
      </c>
      <c r="G19" t="str">
        <f>"01INX"</f>
        <v>01INX</v>
      </c>
      <c r="H19" t="s">
        <v>15</v>
      </c>
      <c r="I19" t="str">
        <f>""</f>
        <v/>
      </c>
      <c r="K19" t="str">
        <f>""</f>
        <v/>
      </c>
    </row>
    <row r="20" spans="1:11" x14ac:dyDescent="0.3">
      <c r="A20" t="str">
        <f>"785972"</f>
        <v>785972</v>
      </c>
      <c r="B20" t="s">
        <v>37</v>
      </c>
      <c r="C20" t="str">
        <f>"210502"</f>
        <v>210502</v>
      </c>
      <c r="D20" t="s">
        <v>37</v>
      </c>
      <c r="E20" t="str">
        <f t="shared" si="0"/>
        <v>785</v>
      </c>
      <c r="F20" t="s">
        <v>14</v>
      </c>
      <c r="G20" t="str">
        <f>"01INX"</f>
        <v>01INX</v>
      </c>
      <c r="H20" t="s">
        <v>15</v>
      </c>
      <c r="I20" t="str">
        <f>""</f>
        <v/>
      </c>
      <c r="K20" t="str">
        <f>""</f>
        <v/>
      </c>
    </row>
    <row r="21" spans="1:11" x14ac:dyDescent="0.3">
      <c r="A21" t="str">
        <f>"785973"</f>
        <v>785973</v>
      </c>
      <c r="B21" t="s">
        <v>38</v>
      </c>
      <c r="C21" t="str">
        <f>"210501"</f>
        <v>210501</v>
      </c>
      <c r="D21" t="s">
        <v>38</v>
      </c>
      <c r="E21" t="str">
        <f t="shared" si="0"/>
        <v>785</v>
      </c>
      <c r="F21" t="s">
        <v>14</v>
      </c>
      <c r="G21" t="str">
        <f>"01UNA"</f>
        <v>01UNA</v>
      </c>
      <c r="H21" t="s">
        <v>23</v>
      </c>
      <c r="I21" t="str">
        <f>""</f>
        <v/>
      </c>
      <c r="K21" t="str">
        <f>""</f>
        <v/>
      </c>
    </row>
    <row r="22" spans="1:11" x14ac:dyDescent="0.3">
      <c r="A22" t="str">
        <f>"785974"</f>
        <v>785974</v>
      </c>
      <c r="B22" t="s">
        <v>39</v>
      </c>
      <c r="C22" t="str">
        <f>"210500"</f>
        <v>210500</v>
      </c>
      <c r="D22" t="s">
        <v>39</v>
      </c>
      <c r="E22" t="str">
        <f t="shared" si="0"/>
        <v>785</v>
      </c>
      <c r="F22" t="s">
        <v>14</v>
      </c>
      <c r="G22" t="str">
        <f>"01INX"</f>
        <v>01INX</v>
      </c>
      <c r="H22" t="s">
        <v>15</v>
      </c>
      <c r="I22" t="str">
        <f>""</f>
        <v/>
      </c>
      <c r="K22" t="str">
        <f>""</f>
        <v/>
      </c>
    </row>
    <row r="23" spans="1:11" x14ac:dyDescent="0.3">
      <c r="A23" t="str">
        <f>"785975"</f>
        <v>785975</v>
      </c>
      <c r="B23" t="s">
        <v>40</v>
      </c>
      <c r="C23" t="str">
        <f>"210499"</f>
        <v>210499</v>
      </c>
      <c r="D23" t="s">
        <v>40</v>
      </c>
      <c r="E23" t="str">
        <f t="shared" si="0"/>
        <v>785</v>
      </c>
      <c r="F23" t="s">
        <v>14</v>
      </c>
      <c r="G23" t="str">
        <f>"01UNA"</f>
        <v>01UNA</v>
      </c>
      <c r="H23" t="s">
        <v>23</v>
      </c>
      <c r="I23" t="str">
        <f>""</f>
        <v/>
      </c>
      <c r="K23" t="str">
        <f>""</f>
        <v/>
      </c>
    </row>
    <row r="24" spans="1:11" x14ac:dyDescent="0.3">
      <c r="A24" t="str">
        <f>"785976"</f>
        <v>785976</v>
      </c>
      <c r="B24" t="s">
        <v>41</v>
      </c>
      <c r="C24" t="str">
        <f>"210498"</f>
        <v>210498</v>
      </c>
      <c r="D24" t="s">
        <v>41</v>
      </c>
      <c r="E24" t="str">
        <f t="shared" si="0"/>
        <v>785</v>
      </c>
      <c r="F24" t="s">
        <v>14</v>
      </c>
      <c r="G24" t="str">
        <f>"04ACS"</f>
        <v>04ACS</v>
      </c>
      <c r="H24" t="s">
        <v>35</v>
      </c>
      <c r="I24" t="str">
        <f>""</f>
        <v/>
      </c>
      <c r="K24" t="str">
        <f>""</f>
        <v/>
      </c>
    </row>
    <row r="25" spans="1:11" x14ac:dyDescent="0.3">
      <c r="A25" t="str">
        <f>"785977"</f>
        <v>785977</v>
      </c>
      <c r="B25" t="s">
        <v>42</v>
      </c>
      <c r="C25" t="str">
        <f>"210497"</f>
        <v>210497</v>
      </c>
      <c r="D25" t="s">
        <v>42</v>
      </c>
      <c r="E25" t="str">
        <f t="shared" si="0"/>
        <v>785</v>
      </c>
      <c r="F25" t="s">
        <v>14</v>
      </c>
      <c r="G25" t="str">
        <f>"01DRO"</f>
        <v>01DRO</v>
      </c>
      <c r="H25" t="s">
        <v>43</v>
      </c>
      <c r="I25" t="str">
        <f>""</f>
        <v/>
      </c>
      <c r="K25" t="str">
        <f>""</f>
        <v/>
      </c>
    </row>
    <row r="26" spans="1:11" x14ac:dyDescent="0.3">
      <c r="A26" t="str">
        <f>"785978"</f>
        <v>785978</v>
      </c>
      <c r="B26" t="s">
        <v>44</v>
      </c>
      <c r="C26" t="str">
        <f>"210496"</f>
        <v>210496</v>
      </c>
      <c r="D26" t="s">
        <v>44</v>
      </c>
      <c r="E26" t="str">
        <f t="shared" si="0"/>
        <v>785</v>
      </c>
      <c r="F26" t="s">
        <v>14</v>
      </c>
      <c r="G26" t="str">
        <f>"01INX"</f>
        <v>01INX</v>
      </c>
      <c r="H26" t="s">
        <v>15</v>
      </c>
      <c r="I26" t="str">
        <f>""</f>
        <v/>
      </c>
      <c r="K26" t="str">
        <f>""</f>
        <v/>
      </c>
    </row>
    <row r="27" spans="1:11" x14ac:dyDescent="0.3">
      <c r="A27" t="str">
        <f>"785979"</f>
        <v>785979</v>
      </c>
      <c r="B27" t="s">
        <v>45</v>
      </c>
      <c r="C27" t="str">
        <f>"210495"</f>
        <v>210495</v>
      </c>
      <c r="D27" t="s">
        <v>45</v>
      </c>
      <c r="E27" t="str">
        <f t="shared" si="0"/>
        <v>785</v>
      </c>
      <c r="F27" t="s">
        <v>14</v>
      </c>
      <c r="G27" t="str">
        <f>"09SCF"</f>
        <v>09SCF</v>
      </c>
      <c r="H27" t="s">
        <v>19</v>
      </c>
      <c r="I27" t="str">
        <f>""</f>
        <v/>
      </c>
      <c r="K27" t="str">
        <f>""</f>
        <v/>
      </c>
    </row>
    <row r="28" spans="1:11" x14ac:dyDescent="0.3">
      <c r="A28" t="str">
        <f>"785980"</f>
        <v>785980</v>
      </c>
      <c r="B28" t="s">
        <v>46</v>
      </c>
      <c r="C28" t="str">
        <f>"210494"</f>
        <v>210494</v>
      </c>
      <c r="D28" t="s">
        <v>46</v>
      </c>
      <c r="E28" t="str">
        <f t="shared" si="0"/>
        <v>785</v>
      </c>
      <c r="F28" t="s">
        <v>14</v>
      </c>
      <c r="G28" t="str">
        <f>"03PSO"</f>
        <v>03PSO</v>
      </c>
      <c r="H28" t="s">
        <v>47</v>
      </c>
      <c r="I28" t="str">
        <f>""</f>
        <v/>
      </c>
      <c r="K28" t="str">
        <f>""</f>
        <v/>
      </c>
    </row>
    <row r="29" spans="1:11" x14ac:dyDescent="0.3">
      <c r="A29" t="str">
        <f>"785940"</f>
        <v>785940</v>
      </c>
      <c r="B29" t="s">
        <v>48</v>
      </c>
      <c r="C29" t="str">
        <f>"100000"</f>
        <v>100000</v>
      </c>
      <c r="D29" t="s">
        <v>49</v>
      </c>
      <c r="E29" t="str">
        <f t="shared" si="0"/>
        <v>785</v>
      </c>
      <c r="F29" t="s">
        <v>14</v>
      </c>
      <c r="G29" t="str">
        <f>"01INX"</f>
        <v>01INX</v>
      </c>
      <c r="H29" t="s">
        <v>15</v>
      </c>
      <c r="I29" t="str">
        <f>"785SUM"</f>
        <v>785SUM</v>
      </c>
      <c r="J29" t="s">
        <v>48</v>
      </c>
      <c r="K29" t="str">
        <f>""</f>
        <v/>
      </c>
    </row>
    <row r="30" spans="1:11" x14ac:dyDescent="0.3">
      <c r="A30" t="str">
        <f>"785941"</f>
        <v>785941</v>
      </c>
      <c r="B30" t="s">
        <v>50</v>
      </c>
      <c r="C30" t="str">
        <f>"120017"</f>
        <v>120017</v>
      </c>
      <c r="D30" t="s">
        <v>51</v>
      </c>
      <c r="E30" t="str">
        <f t="shared" si="0"/>
        <v>785</v>
      </c>
      <c r="F30" t="s">
        <v>14</v>
      </c>
      <c r="G30" t="str">
        <f>"01INX"</f>
        <v>01INX</v>
      </c>
      <c r="H30" t="s">
        <v>15</v>
      </c>
      <c r="I30" t="str">
        <f>""</f>
        <v/>
      </c>
      <c r="K30" t="str">
        <f>""</f>
        <v/>
      </c>
    </row>
    <row r="31" spans="1:11" x14ac:dyDescent="0.3">
      <c r="A31" t="str">
        <f>"785942"</f>
        <v>785942</v>
      </c>
      <c r="B31" t="s">
        <v>52</v>
      </c>
      <c r="C31" t="str">
        <f>"120469"</f>
        <v>120469</v>
      </c>
      <c r="D31" t="s">
        <v>52</v>
      </c>
      <c r="E31" t="str">
        <f t="shared" si="0"/>
        <v>785</v>
      </c>
      <c r="F31" t="s">
        <v>14</v>
      </c>
      <c r="G31" t="str">
        <f>"10AXX"</f>
        <v>10AXX</v>
      </c>
      <c r="H31" t="s">
        <v>53</v>
      </c>
      <c r="I31" t="str">
        <f>""</f>
        <v/>
      </c>
      <c r="K31" t="str">
        <f>""</f>
        <v/>
      </c>
    </row>
    <row r="32" spans="1:11" x14ac:dyDescent="0.3">
      <c r="A32" t="str">
        <f>"785943"</f>
        <v>785943</v>
      </c>
      <c r="B32" t="s">
        <v>54</v>
      </c>
      <c r="C32" t="str">
        <f>"120470"</f>
        <v>120470</v>
      </c>
      <c r="D32" t="s">
        <v>54</v>
      </c>
      <c r="E32" t="str">
        <f t="shared" si="0"/>
        <v>785</v>
      </c>
      <c r="F32" t="s">
        <v>14</v>
      </c>
      <c r="G32" t="str">
        <f>"01INX"</f>
        <v>01INX</v>
      </c>
      <c r="H32" t="s">
        <v>15</v>
      </c>
      <c r="I32" t="str">
        <f>""</f>
        <v/>
      </c>
      <c r="K32" t="str">
        <f>""</f>
        <v/>
      </c>
    </row>
    <row r="33" spans="1:11" x14ac:dyDescent="0.3">
      <c r="A33" t="str">
        <f>"785944"</f>
        <v>785944</v>
      </c>
      <c r="B33" t="s">
        <v>55</v>
      </c>
      <c r="C33" t="str">
        <f t="shared" ref="C33:C38" si="1">"100000"</f>
        <v>100000</v>
      </c>
      <c r="D33" t="s">
        <v>49</v>
      </c>
      <c r="E33" t="str">
        <f t="shared" si="0"/>
        <v>785</v>
      </c>
      <c r="F33" t="s">
        <v>14</v>
      </c>
      <c r="G33" t="str">
        <f>"01INX"</f>
        <v>01INX</v>
      </c>
      <c r="H33" t="s">
        <v>15</v>
      </c>
      <c r="I33" t="str">
        <f>"785ADM"</f>
        <v>785ADM</v>
      </c>
      <c r="J33" t="s">
        <v>56</v>
      </c>
      <c r="K33" t="str">
        <f>""</f>
        <v/>
      </c>
    </row>
    <row r="34" spans="1:11" x14ac:dyDescent="0.3">
      <c r="A34" t="str">
        <f>"785945"</f>
        <v>785945</v>
      </c>
      <c r="B34" t="s">
        <v>57</v>
      </c>
      <c r="C34" t="str">
        <f t="shared" si="1"/>
        <v>100000</v>
      </c>
      <c r="D34" t="s">
        <v>49</v>
      </c>
      <c r="E34" t="str">
        <f t="shared" ref="E34:E61" si="2">"785"</f>
        <v>785</v>
      </c>
      <c r="F34" t="s">
        <v>14</v>
      </c>
      <c r="G34" t="str">
        <f>"01INX"</f>
        <v>01INX</v>
      </c>
      <c r="H34" t="s">
        <v>15</v>
      </c>
      <c r="I34" t="str">
        <f>"785BRA"</f>
        <v>785BRA</v>
      </c>
      <c r="J34" t="s">
        <v>57</v>
      </c>
      <c r="K34" t="str">
        <f>""</f>
        <v/>
      </c>
    </row>
    <row r="35" spans="1:11" x14ac:dyDescent="0.3">
      <c r="A35" t="str">
        <f>"785946"</f>
        <v>785946</v>
      </c>
      <c r="B35" t="s">
        <v>58</v>
      </c>
      <c r="C35" t="str">
        <f t="shared" si="1"/>
        <v>100000</v>
      </c>
      <c r="D35" t="s">
        <v>49</v>
      </c>
      <c r="E35" t="str">
        <f t="shared" si="2"/>
        <v>785</v>
      </c>
      <c r="F35" t="s">
        <v>14</v>
      </c>
      <c r="G35" t="str">
        <f>"01INX"</f>
        <v>01INX</v>
      </c>
      <c r="H35" t="s">
        <v>15</v>
      </c>
      <c r="I35" t="str">
        <f>"785SIN"</f>
        <v>785SIN</v>
      </c>
      <c r="J35" t="s">
        <v>58</v>
      </c>
      <c r="K35" t="str">
        <f>""</f>
        <v/>
      </c>
    </row>
    <row r="36" spans="1:11" x14ac:dyDescent="0.3">
      <c r="A36" t="str">
        <f>"785947"</f>
        <v>785947</v>
      </c>
      <c r="B36" t="s">
        <v>59</v>
      </c>
      <c r="C36" t="str">
        <f t="shared" si="1"/>
        <v>100000</v>
      </c>
      <c r="D36" t="s">
        <v>49</v>
      </c>
      <c r="E36" t="str">
        <f t="shared" si="2"/>
        <v>785</v>
      </c>
      <c r="F36" t="s">
        <v>14</v>
      </c>
      <c r="G36" t="str">
        <f>"01INX"</f>
        <v>01INX</v>
      </c>
      <c r="H36" t="s">
        <v>15</v>
      </c>
      <c r="I36" t="str">
        <f>"785GIS"</f>
        <v>785GIS</v>
      </c>
      <c r="J36" t="s">
        <v>59</v>
      </c>
      <c r="K36" t="str">
        <f>""</f>
        <v/>
      </c>
    </row>
    <row r="37" spans="1:11" x14ac:dyDescent="0.3">
      <c r="A37" t="str">
        <f>"785948"</f>
        <v>785948</v>
      </c>
      <c r="B37" t="s">
        <v>60</v>
      </c>
      <c r="C37" t="str">
        <f t="shared" si="1"/>
        <v>100000</v>
      </c>
      <c r="D37" t="s">
        <v>49</v>
      </c>
      <c r="E37" t="str">
        <f t="shared" si="2"/>
        <v>785</v>
      </c>
      <c r="F37" t="s">
        <v>14</v>
      </c>
      <c r="G37" t="str">
        <f>"04DAX"</f>
        <v>04DAX</v>
      </c>
      <c r="H37" t="s">
        <v>56</v>
      </c>
      <c r="I37" t="str">
        <f>"785DNS"</f>
        <v>785DNS</v>
      </c>
      <c r="J37" t="s">
        <v>60</v>
      </c>
      <c r="K37" t="str">
        <f>""</f>
        <v/>
      </c>
    </row>
    <row r="38" spans="1:11" x14ac:dyDescent="0.3">
      <c r="A38" t="str">
        <f>"785949"</f>
        <v>785949</v>
      </c>
      <c r="B38" t="s">
        <v>61</v>
      </c>
      <c r="C38" t="str">
        <f t="shared" si="1"/>
        <v>100000</v>
      </c>
      <c r="D38" t="s">
        <v>49</v>
      </c>
      <c r="E38" t="str">
        <f t="shared" si="2"/>
        <v>785</v>
      </c>
      <c r="F38" t="s">
        <v>14</v>
      </c>
      <c r="G38" t="str">
        <f>"04DAX"</f>
        <v>04DAX</v>
      </c>
      <c r="H38" t="s">
        <v>56</v>
      </c>
      <c r="I38" t="str">
        <f>""</f>
        <v/>
      </c>
      <c r="K38" t="str">
        <f>""</f>
        <v/>
      </c>
    </row>
    <row r="39" spans="1:11" x14ac:dyDescent="0.3">
      <c r="A39" t="str">
        <f>"785950"</f>
        <v>785950</v>
      </c>
      <c r="B39" t="s">
        <v>62</v>
      </c>
      <c r="C39" t="str">
        <f>"210524"</f>
        <v>210524</v>
      </c>
      <c r="D39" t="s">
        <v>62</v>
      </c>
      <c r="E39" t="str">
        <f t="shared" si="2"/>
        <v>785</v>
      </c>
      <c r="F39" t="s">
        <v>14</v>
      </c>
      <c r="G39" t="str">
        <f>"01INX"</f>
        <v>01INX</v>
      </c>
      <c r="H39" t="s">
        <v>15</v>
      </c>
      <c r="I39" t="str">
        <f>""</f>
        <v/>
      </c>
      <c r="K39" t="str">
        <f>""</f>
        <v/>
      </c>
    </row>
    <row r="40" spans="1:11" x14ac:dyDescent="0.3">
      <c r="A40" t="str">
        <f>"785951"</f>
        <v>785951</v>
      </c>
      <c r="B40" t="s">
        <v>63</v>
      </c>
      <c r="C40" t="str">
        <f>"210523"</f>
        <v>210523</v>
      </c>
      <c r="D40" t="s">
        <v>63</v>
      </c>
      <c r="E40" t="str">
        <f t="shared" si="2"/>
        <v>785</v>
      </c>
      <c r="F40" t="s">
        <v>14</v>
      </c>
      <c r="G40" t="str">
        <f>"01INX"</f>
        <v>01INX</v>
      </c>
      <c r="H40" t="s">
        <v>15</v>
      </c>
      <c r="I40" t="str">
        <f>""</f>
        <v/>
      </c>
      <c r="K40" t="str">
        <f>""</f>
        <v/>
      </c>
    </row>
    <row r="41" spans="1:11" x14ac:dyDescent="0.3">
      <c r="A41" t="str">
        <f>"785981"</f>
        <v>785981</v>
      </c>
      <c r="B41" t="s">
        <v>64</v>
      </c>
      <c r="C41" t="str">
        <f>"210493"</f>
        <v>210493</v>
      </c>
      <c r="D41" t="s">
        <v>64</v>
      </c>
      <c r="E41" t="str">
        <f t="shared" si="2"/>
        <v>785</v>
      </c>
      <c r="F41" t="s">
        <v>14</v>
      </c>
      <c r="G41" t="str">
        <f>"01UNA"</f>
        <v>01UNA</v>
      </c>
      <c r="H41" t="s">
        <v>23</v>
      </c>
      <c r="I41" t="str">
        <f>""</f>
        <v/>
      </c>
      <c r="K41" t="str">
        <f>""</f>
        <v/>
      </c>
    </row>
    <row r="42" spans="1:11" x14ac:dyDescent="0.3">
      <c r="A42" t="str">
        <f>"785982"</f>
        <v>785982</v>
      </c>
      <c r="B42" t="s">
        <v>65</v>
      </c>
      <c r="C42" t="str">
        <f>"210492"</f>
        <v>210492</v>
      </c>
      <c r="D42" t="s">
        <v>65</v>
      </c>
      <c r="E42" t="str">
        <f t="shared" si="2"/>
        <v>785</v>
      </c>
      <c r="F42" t="s">
        <v>14</v>
      </c>
      <c r="G42" t="str">
        <f>"03PSO"</f>
        <v>03PSO</v>
      </c>
      <c r="H42" t="s">
        <v>47</v>
      </c>
      <c r="I42" t="str">
        <f>""</f>
        <v/>
      </c>
      <c r="K42" t="str">
        <f>""</f>
        <v/>
      </c>
    </row>
    <row r="43" spans="1:11" x14ac:dyDescent="0.3">
      <c r="A43" t="str">
        <f>"785983"</f>
        <v>785983</v>
      </c>
      <c r="B43" t="s">
        <v>66</v>
      </c>
      <c r="C43" t="str">
        <f>"210491"</f>
        <v>210491</v>
      </c>
      <c r="D43" t="s">
        <v>66</v>
      </c>
      <c r="E43" t="str">
        <f t="shared" si="2"/>
        <v>785</v>
      </c>
      <c r="F43" t="s">
        <v>14</v>
      </c>
      <c r="G43" t="str">
        <f>"01INX"</f>
        <v>01INX</v>
      </c>
      <c r="H43" t="s">
        <v>15</v>
      </c>
      <c r="I43" t="str">
        <f>""</f>
        <v/>
      </c>
      <c r="K43" t="str">
        <f>""</f>
        <v/>
      </c>
    </row>
    <row r="44" spans="1:11" x14ac:dyDescent="0.3">
      <c r="A44" t="str">
        <f>"785984"</f>
        <v>785984</v>
      </c>
      <c r="B44" t="s">
        <v>67</v>
      </c>
      <c r="C44" t="str">
        <f>"210490"</f>
        <v>210490</v>
      </c>
      <c r="D44" t="s">
        <v>67</v>
      </c>
      <c r="E44" t="str">
        <f t="shared" si="2"/>
        <v>785</v>
      </c>
      <c r="F44" t="s">
        <v>14</v>
      </c>
      <c r="G44" t="str">
        <f>"01UNA"</f>
        <v>01UNA</v>
      </c>
      <c r="H44" t="s">
        <v>23</v>
      </c>
      <c r="I44" t="str">
        <f>""</f>
        <v/>
      </c>
      <c r="K44" t="str">
        <f>""</f>
        <v/>
      </c>
    </row>
    <row r="45" spans="1:11" x14ac:dyDescent="0.3">
      <c r="A45" t="str">
        <f>"785985"</f>
        <v>785985</v>
      </c>
      <c r="B45" t="s">
        <v>68</v>
      </c>
      <c r="C45" t="str">
        <f>"210489"</f>
        <v>210489</v>
      </c>
      <c r="D45" t="s">
        <v>68</v>
      </c>
      <c r="E45" t="str">
        <f t="shared" si="2"/>
        <v>785</v>
      </c>
      <c r="F45" t="s">
        <v>14</v>
      </c>
      <c r="G45" t="str">
        <f>"01INX"</f>
        <v>01INX</v>
      </c>
      <c r="H45" t="s">
        <v>15</v>
      </c>
      <c r="I45" t="str">
        <f>""</f>
        <v/>
      </c>
      <c r="K45" t="str">
        <f>""</f>
        <v/>
      </c>
    </row>
    <row r="46" spans="1:11" x14ac:dyDescent="0.3">
      <c r="A46" t="str">
        <f>"785986"</f>
        <v>785986</v>
      </c>
      <c r="B46" t="s">
        <v>69</v>
      </c>
      <c r="C46" t="str">
        <f>"210488"</f>
        <v>210488</v>
      </c>
      <c r="D46" t="s">
        <v>69</v>
      </c>
      <c r="E46" t="str">
        <f t="shared" si="2"/>
        <v>785</v>
      </c>
      <c r="F46" t="s">
        <v>14</v>
      </c>
      <c r="G46" t="str">
        <f>"01INX"</f>
        <v>01INX</v>
      </c>
      <c r="H46" t="s">
        <v>15</v>
      </c>
      <c r="I46" t="str">
        <f>""</f>
        <v/>
      </c>
      <c r="K46" t="str">
        <f>""</f>
        <v/>
      </c>
    </row>
    <row r="47" spans="1:11" x14ac:dyDescent="0.3">
      <c r="A47" t="str">
        <f>"785987"</f>
        <v>785987</v>
      </c>
      <c r="B47" t="s">
        <v>70</v>
      </c>
      <c r="C47" t="str">
        <f>"210487"</f>
        <v>210487</v>
      </c>
      <c r="D47" t="s">
        <v>70</v>
      </c>
      <c r="E47" t="str">
        <f t="shared" si="2"/>
        <v>785</v>
      </c>
      <c r="F47" t="s">
        <v>14</v>
      </c>
      <c r="G47" t="str">
        <f>"01UNA"</f>
        <v>01UNA</v>
      </c>
      <c r="H47" t="s">
        <v>23</v>
      </c>
      <c r="I47" t="str">
        <f>""</f>
        <v/>
      </c>
      <c r="K47" t="str">
        <f>""</f>
        <v/>
      </c>
    </row>
    <row r="48" spans="1:11" x14ac:dyDescent="0.3">
      <c r="A48" t="str">
        <f>"785988"</f>
        <v>785988</v>
      </c>
      <c r="B48" t="s">
        <v>71</v>
      </c>
      <c r="C48" t="str">
        <f>"210486"</f>
        <v>210486</v>
      </c>
      <c r="D48" t="s">
        <v>71</v>
      </c>
      <c r="E48" t="str">
        <f t="shared" si="2"/>
        <v>785</v>
      </c>
      <c r="F48" t="s">
        <v>14</v>
      </c>
      <c r="G48" t="str">
        <f>"01INX"</f>
        <v>01INX</v>
      </c>
      <c r="H48" t="s">
        <v>15</v>
      </c>
      <c r="I48" t="str">
        <f>""</f>
        <v/>
      </c>
      <c r="K48" t="str">
        <f>""</f>
        <v/>
      </c>
    </row>
    <row r="49" spans="1:11" x14ac:dyDescent="0.3">
      <c r="A49" t="str">
        <f>"785989"</f>
        <v>785989</v>
      </c>
      <c r="B49" t="s">
        <v>72</v>
      </c>
      <c r="C49" t="str">
        <f>"210485"</f>
        <v>210485</v>
      </c>
      <c r="D49" t="s">
        <v>72</v>
      </c>
      <c r="E49" t="str">
        <f t="shared" si="2"/>
        <v>785</v>
      </c>
      <c r="F49" t="s">
        <v>14</v>
      </c>
      <c r="G49" t="str">
        <f>"01INX"</f>
        <v>01INX</v>
      </c>
      <c r="H49" t="s">
        <v>15</v>
      </c>
      <c r="I49" t="str">
        <f>""</f>
        <v/>
      </c>
      <c r="K49" t="str">
        <f>""</f>
        <v/>
      </c>
    </row>
    <row r="50" spans="1:11" x14ac:dyDescent="0.3">
      <c r="A50" t="str">
        <f>"785990"</f>
        <v>785990</v>
      </c>
      <c r="B50" t="s">
        <v>73</v>
      </c>
      <c r="C50" t="str">
        <f>"210484"</f>
        <v>210484</v>
      </c>
      <c r="D50" t="s">
        <v>73</v>
      </c>
      <c r="E50" t="str">
        <f t="shared" si="2"/>
        <v>785</v>
      </c>
      <c r="F50" t="s">
        <v>14</v>
      </c>
      <c r="G50" t="str">
        <f>"01UNA"</f>
        <v>01UNA</v>
      </c>
      <c r="H50" t="s">
        <v>23</v>
      </c>
      <c r="I50" t="str">
        <f>""</f>
        <v/>
      </c>
      <c r="K50" t="str">
        <f>""</f>
        <v/>
      </c>
    </row>
    <row r="51" spans="1:11" x14ac:dyDescent="0.3">
      <c r="A51" t="str">
        <f>"785991"</f>
        <v>785991</v>
      </c>
      <c r="B51" t="s">
        <v>74</v>
      </c>
      <c r="C51" t="str">
        <f>"211105"</f>
        <v>211105</v>
      </c>
      <c r="D51" t="s">
        <v>74</v>
      </c>
      <c r="E51" t="str">
        <f t="shared" si="2"/>
        <v>785</v>
      </c>
      <c r="F51" t="s">
        <v>14</v>
      </c>
      <c r="G51" t="str">
        <f>"01INX"</f>
        <v>01INX</v>
      </c>
      <c r="H51" t="s">
        <v>15</v>
      </c>
      <c r="I51" t="str">
        <f>""</f>
        <v/>
      </c>
      <c r="K51" t="str">
        <f>""</f>
        <v/>
      </c>
    </row>
    <row r="52" spans="1:11" x14ac:dyDescent="0.3">
      <c r="A52" t="str">
        <f>"785992"</f>
        <v>785992</v>
      </c>
      <c r="B52" t="s">
        <v>75</v>
      </c>
      <c r="C52" t="str">
        <f>"210483"</f>
        <v>210483</v>
      </c>
      <c r="D52" t="s">
        <v>75</v>
      </c>
      <c r="E52" t="str">
        <f t="shared" si="2"/>
        <v>785</v>
      </c>
      <c r="F52" t="s">
        <v>14</v>
      </c>
      <c r="G52" t="str">
        <f>"01INX"</f>
        <v>01INX</v>
      </c>
      <c r="H52" t="s">
        <v>15</v>
      </c>
      <c r="I52" t="str">
        <f>""</f>
        <v/>
      </c>
      <c r="K52" t="str">
        <f>""</f>
        <v/>
      </c>
    </row>
    <row r="53" spans="1:11" x14ac:dyDescent="0.3">
      <c r="A53" t="str">
        <f>"785993"</f>
        <v>785993</v>
      </c>
      <c r="B53" t="s">
        <v>76</v>
      </c>
      <c r="C53" t="str">
        <f>"210482"</f>
        <v>210482</v>
      </c>
      <c r="D53" t="s">
        <v>76</v>
      </c>
      <c r="E53" t="str">
        <f t="shared" si="2"/>
        <v>785</v>
      </c>
      <c r="F53" t="s">
        <v>14</v>
      </c>
      <c r="G53" t="str">
        <f>"09SCF"</f>
        <v>09SCF</v>
      </c>
      <c r="H53" t="s">
        <v>19</v>
      </c>
      <c r="I53" t="str">
        <f>""</f>
        <v/>
      </c>
      <c r="K53" t="str">
        <f>""</f>
        <v/>
      </c>
    </row>
    <row r="54" spans="1:11" x14ac:dyDescent="0.3">
      <c r="A54" t="str">
        <f>"785994"</f>
        <v>785994</v>
      </c>
      <c r="B54" t="s">
        <v>77</v>
      </c>
      <c r="C54" t="str">
        <f>"160439"</f>
        <v>160439</v>
      </c>
      <c r="D54" t="s">
        <v>77</v>
      </c>
      <c r="E54" t="str">
        <f t="shared" si="2"/>
        <v>785</v>
      </c>
      <c r="F54" t="s">
        <v>14</v>
      </c>
      <c r="G54" t="str">
        <f>"01INX"</f>
        <v>01INX</v>
      </c>
      <c r="H54" t="s">
        <v>15</v>
      </c>
      <c r="I54" t="str">
        <f>""</f>
        <v/>
      </c>
      <c r="K54" t="str">
        <f>""</f>
        <v/>
      </c>
    </row>
    <row r="55" spans="1:11" x14ac:dyDescent="0.3">
      <c r="A55" t="str">
        <f>"785995"</f>
        <v>785995</v>
      </c>
      <c r="B55" t="s">
        <v>78</v>
      </c>
      <c r="C55" t="str">
        <f>"160113"</f>
        <v>160113</v>
      </c>
      <c r="D55" t="s">
        <v>79</v>
      </c>
      <c r="E55" t="str">
        <f t="shared" si="2"/>
        <v>785</v>
      </c>
      <c r="F55" t="s">
        <v>14</v>
      </c>
      <c r="G55" t="str">
        <f>"01INX"</f>
        <v>01INX</v>
      </c>
      <c r="H55" t="s">
        <v>15</v>
      </c>
      <c r="I55" t="str">
        <f>""</f>
        <v/>
      </c>
      <c r="K55" t="str">
        <f>""</f>
        <v/>
      </c>
    </row>
    <row r="56" spans="1:11" x14ac:dyDescent="0.3">
      <c r="A56" t="str">
        <f>"785996"</f>
        <v>785996</v>
      </c>
      <c r="B56" t="s">
        <v>80</v>
      </c>
      <c r="C56" t="str">
        <f>"160112"</f>
        <v>160112</v>
      </c>
      <c r="D56" t="s">
        <v>80</v>
      </c>
      <c r="E56" t="str">
        <f t="shared" si="2"/>
        <v>785</v>
      </c>
      <c r="F56" t="s">
        <v>14</v>
      </c>
      <c r="G56" t="str">
        <f>"04ACS"</f>
        <v>04ACS</v>
      </c>
      <c r="H56" t="s">
        <v>35</v>
      </c>
      <c r="I56" t="str">
        <f>""</f>
        <v/>
      </c>
      <c r="K56" t="str">
        <f>""</f>
        <v/>
      </c>
    </row>
    <row r="57" spans="1:11" x14ac:dyDescent="0.3">
      <c r="A57" t="str">
        <f>"785997"</f>
        <v>785997</v>
      </c>
      <c r="B57" t="s">
        <v>81</v>
      </c>
      <c r="C57" t="str">
        <f>"160111"</f>
        <v>160111</v>
      </c>
      <c r="D57" t="s">
        <v>81</v>
      </c>
      <c r="E57" t="str">
        <f t="shared" si="2"/>
        <v>785</v>
      </c>
      <c r="F57" t="s">
        <v>14</v>
      </c>
      <c r="G57" t="str">
        <f>"01INX"</f>
        <v>01INX</v>
      </c>
      <c r="H57" t="s">
        <v>15</v>
      </c>
      <c r="I57" t="str">
        <f>""</f>
        <v/>
      </c>
      <c r="K57" t="str">
        <f>""</f>
        <v/>
      </c>
    </row>
    <row r="58" spans="1:11" x14ac:dyDescent="0.3">
      <c r="A58" t="str">
        <f>"785998"</f>
        <v>785998</v>
      </c>
      <c r="B58" t="s">
        <v>82</v>
      </c>
      <c r="C58" t="str">
        <f>"160110"</f>
        <v>160110</v>
      </c>
      <c r="D58" t="s">
        <v>82</v>
      </c>
      <c r="E58" t="str">
        <f t="shared" si="2"/>
        <v>785</v>
      </c>
      <c r="F58" t="s">
        <v>14</v>
      </c>
      <c r="G58" t="str">
        <f>"01INX"</f>
        <v>01INX</v>
      </c>
      <c r="H58" t="s">
        <v>15</v>
      </c>
      <c r="I58" t="str">
        <f>""</f>
        <v/>
      </c>
      <c r="K58" t="str">
        <f>""</f>
        <v/>
      </c>
    </row>
    <row r="59" spans="1:11" x14ac:dyDescent="0.3">
      <c r="A59" t="str">
        <f>"785999"</f>
        <v>785999</v>
      </c>
      <c r="B59" t="s">
        <v>83</v>
      </c>
      <c r="C59" t="str">
        <f>"121235"</f>
        <v>121235</v>
      </c>
      <c r="D59" t="s">
        <v>84</v>
      </c>
      <c r="E59" t="str">
        <f t="shared" si="2"/>
        <v>785</v>
      </c>
      <c r="F59" t="s">
        <v>14</v>
      </c>
      <c r="G59" t="str">
        <f>"01DRO"</f>
        <v>01DRO</v>
      </c>
      <c r="H59" t="s">
        <v>43</v>
      </c>
      <c r="I59" t="str">
        <f>""</f>
        <v/>
      </c>
      <c r="K59" t="str">
        <f>""</f>
        <v/>
      </c>
    </row>
    <row r="60" spans="1:11" x14ac:dyDescent="0.3">
      <c r="A60" t="str">
        <f>"785952"</f>
        <v>785952</v>
      </c>
      <c r="B60" t="s">
        <v>85</v>
      </c>
      <c r="C60" t="str">
        <f>"210522"</f>
        <v>210522</v>
      </c>
      <c r="D60" t="s">
        <v>85</v>
      </c>
      <c r="E60" t="str">
        <f t="shared" si="2"/>
        <v>785</v>
      </c>
      <c r="F60" t="s">
        <v>14</v>
      </c>
      <c r="G60" t="str">
        <f>"09SCF"</f>
        <v>09SCF</v>
      </c>
      <c r="H60" t="s">
        <v>19</v>
      </c>
      <c r="I60" t="str">
        <f>""</f>
        <v/>
      </c>
      <c r="K60" t="str">
        <f>""</f>
        <v/>
      </c>
    </row>
    <row r="61" spans="1:11" x14ac:dyDescent="0.3">
      <c r="A61" t="str">
        <f>"785953"</f>
        <v>785953</v>
      </c>
      <c r="B61" t="s">
        <v>86</v>
      </c>
      <c r="C61" t="str">
        <f>"210521"</f>
        <v>210521</v>
      </c>
      <c r="D61" t="s">
        <v>86</v>
      </c>
      <c r="E61" t="str">
        <f t="shared" si="2"/>
        <v>785</v>
      </c>
      <c r="F61" t="s">
        <v>14</v>
      </c>
      <c r="G61" t="str">
        <f>"01UNA"</f>
        <v>01UNA</v>
      </c>
      <c r="H61" t="s">
        <v>23</v>
      </c>
      <c r="I61" t="str">
        <f>""</f>
        <v/>
      </c>
      <c r="K61" t="str">
        <f>""</f>
        <v/>
      </c>
    </row>
    <row r="62" spans="1:11" x14ac:dyDescent="0.3">
      <c r="A62" t="str">
        <f>"823997"</f>
        <v>823997</v>
      </c>
      <c r="B62" t="s">
        <v>87</v>
      </c>
      <c r="C62" t="str">
        <f>"120477"</f>
        <v>120477</v>
      </c>
      <c r="D62" t="s">
        <v>87</v>
      </c>
      <c r="E62" t="str">
        <f>"823"</f>
        <v>823</v>
      </c>
      <c r="F62" t="s">
        <v>88</v>
      </c>
      <c r="G62" t="str">
        <f>"01INX"</f>
        <v>01INX</v>
      </c>
      <c r="H62" t="s">
        <v>15</v>
      </c>
    </row>
    <row r="63" spans="1:11" x14ac:dyDescent="0.3">
      <c r="A63" t="str">
        <f>"823998"</f>
        <v>823998</v>
      </c>
      <c r="B63" t="s">
        <v>89</v>
      </c>
      <c r="C63" t="str">
        <f>"100000"</f>
        <v>100000</v>
      </c>
      <c r="D63" t="s">
        <v>49</v>
      </c>
      <c r="E63" t="str">
        <f>"823"</f>
        <v>823</v>
      </c>
      <c r="F63" t="s">
        <v>88</v>
      </c>
      <c r="G63" t="str">
        <f>"03PSO"</f>
        <v>03PSO</v>
      </c>
      <c r="H63" t="s">
        <v>47</v>
      </c>
    </row>
    <row r="64" spans="1:11" x14ac:dyDescent="0.3">
      <c r="A64" t="str">
        <f>"823999"</f>
        <v>823999</v>
      </c>
      <c r="B64" t="s">
        <v>90</v>
      </c>
      <c r="C64" t="str">
        <f>"160115"</f>
        <v>160115</v>
      </c>
      <c r="D64" t="s">
        <v>90</v>
      </c>
      <c r="E64" t="str">
        <f>"823"</f>
        <v>823</v>
      </c>
      <c r="F64" t="s">
        <v>88</v>
      </c>
      <c r="G64" t="str">
        <f t="shared" ref="G64:G69" si="3">"01INX"</f>
        <v>01INX</v>
      </c>
      <c r="H64" t="s">
        <v>15</v>
      </c>
    </row>
    <row r="65" spans="1:11" x14ac:dyDescent="0.3">
      <c r="A65" t="str">
        <f>"836994"</f>
        <v>836994</v>
      </c>
      <c r="B65" t="s">
        <v>91</v>
      </c>
      <c r="C65" t="str">
        <f>"120472"</f>
        <v>120472</v>
      </c>
      <c r="D65" t="s">
        <v>91</v>
      </c>
      <c r="E65" t="str">
        <f t="shared" ref="E65:E70" si="4">"836"</f>
        <v>836</v>
      </c>
      <c r="F65" t="s">
        <v>92</v>
      </c>
      <c r="G65" t="str">
        <f t="shared" si="3"/>
        <v>01INX</v>
      </c>
      <c r="H65" t="s">
        <v>15</v>
      </c>
      <c r="I65" t="str">
        <f>""</f>
        <v/>
      </c>
      <c r="K65" t="str">
        <f>""</f>
        <v/>
      </c>
    </row>
    <row r="66" spans="1:11" x14ac:dyDescent="0.3">
      <c r="A66" t="str">
        <f>"836995"</f>
        <v>836995</v>
      </c>
      <c r="B66" t="s">
        <v>92</v>
      </c>
      <c r="C66" t="str">
        <f>"120475"</f>
        <v>120475</v>
      </c>
      <c r="D66" t="s">
        <v>92</v>
      </c>
      <c r="E66" t="str">
        <f t="shared" si="4"/>
        <v>836</v>
      </c>
      <c r="F66" t="s">
        <v>92</v>
      </c>
      <c r="G66" t="str">
        <f t="shared" si="3"/>
        <v>01INX</v>
      </c>
      <c r="H66" t="s">
        <v>15</v>
      </c>
      <c r="I66" t="str">
        <f>""</f>
        <v/>
      </c>
      <c r="K66" t="str">
        <f>""</f>
        <v/>
      </c>
    </row>
    <row r="67" spans="1:11" x14ac:dyDescent="0.3">
      <c r="A67" t="str">
        <f>"836996"</f>
        <v>836996</v>
      </c>
      <c r="B67" t="s">
        <v>92</v>
      </c>
      <c r="C67" t="str">
        <f>"100000"</f>
        <v>100000</v>
      </c>
      <c r="D67" t="s">
        <v>49</v>
      </c>
      <c r="E67" t="str">
        <f t="shared" si="4"/>
        <v>836</v>
      </c>
      <c r="F67" t="s">
        <v>92</v>
      </c>
      <c r="G67" t="str">
        <f t="shared" si="3"/>
        <v>01INX</v>
      </c>
      <c r="H67" t="s">
        <v>15</v>
      </c>
      <c r="I67" t="str">
        <f>""</f>
        <v/>
      </c>
      <c r="K67" t="str">
        <f>""</f>
        <v/>
      </c>
    </row>
    <row r="68" spans="1:11" x14ac:dyDescent="0.3">
      <c r="A68" t="str">
        <f>"836997"</f>
        <v>836997</v>
      </c>
      <c r="B68" t="s">
        <v>93</v>
      </c>
      <c r="C68" t="str">
        <f>"210536"</f>
        <v>210536</v>
      </c>
      <c r="D68" t="s">
        <v>94</v>
      </c>
      <c r="E68" t="str">
        <f t="shared" si="4"/>
        <v>836</v>
      </c>
      <c r="F68" t="s">
        <v>92</v>
      </c>
      <c r="G68" t="str">
        <f t="shared" si="3"/>
        <v>01INX</v>
      </c>
      <c r="H68" t="s">
        <v>15</v>
      </c>
      <c r="I68" t="str">
        <f>""</f>
        <v/>
      </c>
      <c r="K68" t="str">
        <f>""</f>
        <v/>
      </c>
    </row>
    <row r="69" spans="1:11" x14ac:dyDescent="0.3">
      <c r="A69" t="str">
        <f>"836998"</f>
        <v>836998</v>
      </c>
      <c r="B69" t="s">
        <v>95</v>
      </c>
      <c r="C69" t="str">
        <f>"160441"</f>
        <v>160441</v>
      </c>
      <c r="D69" t="s">
        <v>92</v>
      </c>
      <c r="E69" t="str">
        <f t="shared" si="4"/>
        <v>836</v>
      </c>
      <c r="F69" t="s">
        <v>92</v>
      </c>
      <c r="G69" t="str">
        <f t="shared" si="3"/>
        <v>01INX</v>
      </c>
      <c r="H69" t="s">
        <v>15</v>
      </c>
      <c r="I69" t="str">
        <f>""</f>
        <v/>
      </c>
      <c r="K69" t="str">
        <f>""</f>
        <v/>
      </c>
    </row>
    <row r="70" spans="1:11" x14ac:dyDescent="0.3">
      <c r="A70" t="str">
        <f>"836999"</f>
        <v>836999</v>
      </c>
      <c r="B70" t="s">
        <v>96</v>
      </c>
      <c r="C70" t="str">
        <f>"160116"</f>
        <v>160116</v>
      </c>
      <c r="D70" t="s">
        <v>96</v>
      </c>
      <c r="E70" t="str">
        <f t="shared" si="4"/>
        <v>836</v>
      </c>
      <c r="F70" t="s">
        <v>92</v>
      </c>
      <c r="G70" t="str">
        <f>"06SSX"</f>
        <v>06SSX</v>
      </c>
      <c r="H70" t="s">
        <v>97</v>
      </c>
      <c r="I70" t="str">
        <f>""</f>
        <v/>
      </c>
      <c r="K70" t="str">
        <f>""</f>
        <v/>
      </c>
    </row>
    <row r="71" spans="1:11" x14ac:dyDescent="0.3">
      <c r="A71" t="str">
        <f>"860986"</f>
        <v>860986</v>
      </c>
      <c r="B71" t="s">
        <v>98</v>
      </c>
      <c r="C71" t="str">
        <f>"121466"</f>
        <v>121466</v>
      </c>
      <c r="D71" t="s">
        <v>98</v>
      </c>
      <c r="E71" t="str">
        <f t="shared" ref="E71:E84" si="5">"860"</f>
        <v>860</v>
      </c>
      <c r="F71" t="s">
        <v>99</v>
      </c>
      <c r="G71" t="str">
        <f>"01INX"</f>
        <v>01INX</v>
      </c>
      <c r="H71" t="s">
        <v>15</v>
      </c>
      <c r="I71" t="str">
        <f>""</f>
        <v/>
      </c>
      <c r="K71" t="str">
        <f>""</f>
        <v/>
      </c>
    </row>
    <row r="72" spans="1:11" x14ac:dyDescent="0.3">
      <c r="A72" t="str">
        <f>"860987"</f>
        <v>860987</v>
      </c>
      <c r="B72" t="s">
        <v>99</v>
      </c>
      <c r="C72" t="str">
        <f>"100000"</f>
        <v>100000</v>
      </c>
      <c r="D72" t="s">
        <v>49</v>
      </c>
      <c r="E72" t="str">
        <f t="shared" si="5"/>
        <v>860</v>
      </c>
      <c r="F72" t="s">
        <v>99</v>
      </c>
      <c r="G72" t="str">
        <f>"01INX"</f>
        <v>01INX</v>
      </c>
      <c r="H72" t="s">
        <v>15</v>
      </c>
      <c r="I72" t="str">
        <f>""</f>
        <v/>
      </c>
      <c r="K72" t="str">
        <f>""</f>
        <v/>
      </c>
    </row>
    <row r="73" spans="1:11" x14ac:dyDescent="0.3">
      <c r="A73" t="str">
        <f>"860988"</f>
        <v>860988</v>
      </c>
      <c r="B73" t="s">
        <v>100</v>
      </c>
      <c r="C73" t="str">
        <f>"210534"</f>
        <v>210534</v>
      </c>
      <c r="D73" t="s">
        <v>100</v>
      </c>
      <c r="E73" t="str">
        <f t="shared" si="5"/>
        <v>860</v>
      </c>
      <c r="F73" t="s">
        <v>99</v>
      </c>
      <c r="G73" t="str">
        <f>"01UNA"</f>
        <v>01UNA</v>
      </c>
      <c r="H73" t="s">
        <v>23</v>
      </c>
      <c r="I73" t="str">
        <f>""</f>
        <v/>
      </c>
      <c r="K73" t="str">
        <f>""</f>
        <v/>
      </c>
    </row>
    <row r="74" spans="1:11" x14ac:dyDescent="0.3">
      <c r="A74" t="str">
        <f>"860989"</f>
        <v>860989</v>
      </c>
      <c r="B74" t="s">
        <v>101</v>
      </c>
      <c r="C74" t="str">
        <f>"210533"</f>
        <v>210533</v>
      </c>
      <c r="D74" t="s">
        <v>101</v>
      </c>
      <c r="E74" t="str">
        <f t="shared" si="5"/>
        <v>860</v>
      </c>
      <c r="F74" t="s">
        <v>99</v>
      </c>
      <c r="G74" t="str">
        <f>"01INX"</f>
        <v>01INX</v>
      </c>
      <c r="H74" t="s">
        <v>15</v>
      </c>
      <c r="I74" t="str">
        <f>""</f>
        <v/>
      </c>
      <c r="K74" t="str">
        <f>""</f>
        <v/>
      </c>
    </row>
    <row r="75" spans="1:11" x14ac:dyDescent="0.3">
      <c r="A75" t="str">
        <f>"860990"</f>
        <v>860990</v>
      </c>
      <c r="B75" t="s">
        <v>102</v>
      </c>
      <c r="C75" t="str">
        <f>"210532"</f>
        <v>210532</v>
      </c>
      <c r="D75" t="s">
        <v>102</v>
      </c>
      <c r="E75" t="str">
        <f t="shared" si="5"/>
        <v>860</v>
      </c>
      <c r="F75" t="s">
        <v>99</v>
      </c>
      <c r="G75" t="str">
        <f>"01INX"</f>
        <v>01INX</v>
      </c>
      <c r="H75" t="s">
        <v>15</v>
      </c>
      <c r="I75" t="str">
        <f>""</f>
        <v/>
      </c>
      <c r="K75" t="str">
        <f>""</f>
        <v/>
      </c>
    </row>
    <row r="76" spans="1:11" x14ac:dyDescent="0.3">
      <c r="A76" t="str">
        <f>"860991"</f>
        <v>860991</v>
      </c>
      <c r="B76" t="s">
        <v>103</v>
      </c>
      <c r="C76" t="str">
        <f>"210531"</f>
        <v>210531</v>
      </c>
      <c r="D76" t="s">
        <v>103</v>
      </c>
      <c r="E76" t="str">
        <f t="shared" si="5"/>
        <v>860</v>
      </c>
      <c r="F76" t="s">
        <v>99</v>
      </c>
      <c r="G76" t="str">
        <f>"01INX"</f>
        <v>01INX</v>
      </c>
      <c r="H76" t="s">
        <v>15</v>
      </c>
      <c r="I76" t="str">
        <f>""</f>
        <v/>
      </c>
      <c r="K76" t="str">
        <f>""</f>
        <v/>
      </c>
    </row>
    <row r="77" spans="1:11" x14ac:dyDescent="0.3">
      <c r="A77" t="str">
        <f>"860992"</f>
        <v>860992</v>
      </c>
      <c r="B77" t="s">
        <v>104</v>
      </c>
      <c r="C77" t="str">
        <f>"210530"</f>
        <v>210530</v>
      </c>
      <c r="D77" t="s">
        <v>104</v>
      </c>
      <c r="E77" t="str">
        <f t="shared" si="5"/>
        <v>860</v>
      </c>
      <c r="F77" t="s">
        <v>99</v>
      </c>
      <c r="G77" t="str">
        <f>"07GAX"</f>
        <v>07GAX</v>
      </c>
      <c r="H77" t="s">
        <v>26</v>
      </c>
      <c r="I77" t="str">
        <f>""</f>
        <v/>
      </c>
      <c r="K77" t="str">
        <f>""</f>
        <v/>
      </c>
    </row>
    <row r="78" spans="1:11" x14ac:dyDescent="0.3">
      <c r="A78" t="str">
        <f>"860993"</f>
        <v>860993</v>
      </c>
      <c r="B78" t="s">
        <v>105</v>
      </c>
      <c r="C78" t="str">
        <f>"210529"</f>
        <v>210529</v>
      </c>
      <c r="D78" t="s">
        <v>105</v>
      </c>
      <c r="E78" t="str">
        <f t="shared" si="5"/>
        <v>860</v>
      </c>
      <c r="F78" t="s">
        <v>99</v>
      </c>
      <c r="G78" t="str">
        <f>"01INX"</f>
        <v>01INX</v>
      </c>
      <c r="H78" t="s">
        <v>15</v>
      </c>
      <c r="I78" t="str">
        <f>""</f>
        <v/>
      </c>
      <c r="K78" t="str">
        <f>""</f>
        <v/>
      </c>
    </row>
    <row r="79" spans="1:11" x14ac:dyDescent="0.3">
      <c r="A79" t="str">
        <f>"860994"</f>
        <v>860994</v>
      </c>
      <c r="B79" t="s">
        <v>106</v>
      </c>
      <c r="C79" t="str">
        <f>"210528"</f>
        <v>210528</v>
      </c>
      <c r="D79" t="s">
        <v>106</v>
      </c>
      <c r="E79" t="str">
        <f t="shared" si="5"/>
        <v>860</v>
      </c>
      <c r="F79" t="s">
        <v>99</v>
      </c>
      <c r="G79" t="str">
        <f>"09SCF"</f>
        <v>09SCF</v>
      </c>
      <c r="H79" t="s">
        <v>19</v>
      </c>
      <c r="I79" t="str">
        <f>""</f>
        <v/>
      </c>
      <c r="K79" t="str">
        <f>""</f>
        <v/>
      </c>
    </row>
    <row r="80" spans="1:11" x14ac:dyDescent="0.3">
      <c r="A80" t="str">
        <f>"860995"</f>
        <v>860995</v>
      </c>
      <c r="B80" t="s">
        <v>107</v>
      </c>
      <c r="C80" t="str">
        <f>"210527"</f>
        <v>210527</v>
      </c>
      <c r="D80" t="s">
        <v>108</v>
      </c>
      <c r="E80" t="str">
        <f t="shared" si="5"/>
        <v>860</v>
      </c>
      <c r="F80" t="s">
        <v>99</v>
      </c>
      <c r="G80" t="str">
        <f>"01UNA"</f>
        <v>01UNA</v>
      </c>
      <c r="H80" t="s">
        <v>23</v>
      </c>
      <c r="I80" t="str">
        <f>""</f>
        <v/>
      </c>
      <c r="K80" t="str">
        <f>""</f>
        <v/>
      </c>
    </row>
    <row r="81" spans="1:13" x14ac:dyDescent="0.3">
      <c r="A81" t="str">
        <f>"860996"</f>
        <v>860996</v>
      </c>
      <c r="B81" t="s">
        <v>109</v>
      </c>
      <c r="C81" t="str">
        <f>"210526"</f>
        <v>210526</v>
      </c>
      <c r="D81" t="s">
        <v>109</v>
      </c>
      <c r="E81" t="str">
        <f t="shared" si="5"/>
        <v>860</v>
      </c>
      <c r="F81" t="s">
        <v>99</v>
      </c>
      <c r="G81" t="str">
        <f>"06SSX"</f>
        <v>06SSX</v>
      </c>
      <c r="H81" t="s">
        <v>97</v>
      </c>
      <c r="I81" t="str">
        <f>""</f>
        <v/>
      </c>
      <c r="K81" t="str">
        <f>""</f>
        <v/>
      </c>
    </row>
    <row r="82" spans="1:13" x14ac:dyDescent="0.3">
      <c r="A82" t="str">
        <f>"860997"</f>
        <v>860997</v>
      </c>
      <c r="B82" t="s">
        <v>110</v>
      </c>
      <c r="C82" t="str">
        <f>"210525"</f>
        <v>210525</v>
      </c>
      <c r="D82" t="s">
        <v>110</v>
      </c>
      <c r="E82" t="str">
        <f t="shared" si="5"/>
        <v>860</v>
      </c>
      <c r="F82" t="s">
        <v>99</v>
      </c>
      <c r="G82" t="str">
        <f>"01UNA"</f>
        <v>01UNA</v>
      </c>
      <c r="H82" t="s">
        <v>23</v>
      </c>
      <c r="I82" t="str">
        <f>""</f>
        <v/>
      </c>
      <c r="K82" t="str">
        <f>""</f>
        <v/>
      </c>
    </row>
    <row r="83" spans="1:13" x14ac:dyDescent="0.3">
      <c r="A83" t="str">
        <f>"860998"</f>
        <v>860998</v>
      </c>
      <c r="B83" t="s">
        <v>111</v>
      </c>
      <c r="C83" t="str">
        <f>"160440"</f>
        <v>160440</v>
      </c>
      <c r="D83" t="s">
        <v>112</v>
      </c>
      <c r="E83" t="str">
        <f t="shared" si="5"/>
        <v>860</v>
      </c>
      <c r="F83" t="s">
        <v>99</v>
      </c>
      <c r="G83" t="str">
        <f>"01INX"</f>
        <v>01INX</v>
      </c>
      <c r="H83" t="s">
        <v>15</v>
      </c>
      <c r="I83" t="str">
        <f>""</f>
        <v/>
      </c>
      <c r="K83" t="str">
        <f>""</f>
        <v/>
      </c>
    </row>
    <row r="84" spans="1:13" x14ac:dyDescent="0.3">
      <c r="A84" t="str">
        <f>"860999"</f>
        <v>860999</v>
      </c>
      <c r="B84" t="s">
        <v>113</v>
      </c>
      <c r="C84" t="str">
        <f>"160114"</f>
        <v>160114</v>
      </c>
      <c r="D84" t="s">
        <v>113</v>
      </c>
      <c r="E84" t="str">
        <f t="shared" si="5"/>
        <v>860</v>
      </c>
      <c r="F84" t="s">
        <v>99</v>
      </c>
      <c r="G84" t="str">
        <f>"01INX"</f>
        <v>01INX</v>
      </c>
      <c r="H84" t="s">
        <v>15</v>
      </c>
      <c r="I84" t="str">
        <f>""</f>
        <v/>
      </c>
      <c r="K84" t="str">
        <f>""</f>
        <v/>
      </c>
    </row>
    <row r="85" spans="1:13" x14ac:dyDescent="0.3">
      <c r="A85" t="str">
        <f>"889987"</f>
        <v>889987</v>
      </c>
      <c r="B85" t="s">
        <v>114</v>
      </c>
      <c r="C85" t="str">
        <f>"160444"</f>
        <v>160444</v>
      </c>
      <c r="D85" t="s">
        <v>115</v>
      </c>
      <c r="E85" t="str">
        <f t="shared" ref="E85:E100" si="6">"889"</f>
        <v>889</v>
      </c>
      <c r="F85" t="s">
        <v>116</v>
      </c>
      <c r="G85" t="str">
        <f>"01INX"</f>
        <v>01INX</v>
      </c>
      <c r="H85" t="s">
        <v>15</v>
      </c>
      <c r="I85" t="str">
        <f>""</f>
        <v/>
      </c>
      <c r="K85" t="str">
        <f>""</f>
        <v/>
      </c>
    </row>
    <row r="86" spans="1:13" x14ac:dyDescent="0.3">
      <c r="A86" t="str">
        <f>"889988"</f>
        <v>889988</v>
      </c>
      <c r="B86" t="s">
        <v>117</v>
      </c>
      <c r="C86" t="str">
        <f>"120474"</f>
        <v>120474</v>
      </c>
      <c r="D86" t="s">
        <v>117</v>
      </c>
      <c r="E86" t="str">
        <f t="shared" si="6"/>
        <v>889</v>
      </c>
      <c r="F86" t="s">
        <v>116</v>
      </c>
      <c r="G86" t="str">
        <f>"01INX"</f>
        <v>01INX</v>
      </c>
      <c r="H86" t="s">
        <v>15</v>
      </c>
      <c r="I86" t="str">
        <f>""</f>
        <v/>
      </c>
      <c r="K86" t="str">
        <f>""</f>
        <v/>
      </c>
    </row>
    <row r="87" spans="1:13" x14ac:dyDescent="0.3">
      <c r="A87" t="str">
        <f>"889989"</f>
        <v>889989</v>
      </c>
      <c r="B87" t="s">
        <v>118</v>
      </c>
      <c r="C87" t="str">
        <f>"120471"</f>
        <v>120471</v>
      </c>
      <c r="D87" t="s">
        <v>118</v>
      </c>
      <c r="E87" t="str">
        <f t="shared" si="6"/>
        <v>889</v>
      </c>
      <c r="F87" t="s">
        <v>116</v>
      </c>
      <c r="G87" t="str">
        <f>"01DRF"</f>
        <v>01DRF</v>
      </c>
      <c r="H87" t="s">
        <v>119</v>
      </c>
      <c r="I87" t="str">
        <f>""</f>
        <v/>
      </c>
      <c r="K87" t="str">
        <f>""</f>
        <v/>
      </c>
    </row>
    <row r="88" spans="1:13" x14ac:dyDescent="0.3">
      <c r="A88" t="str">
        <f>"889990"</f>
        <v>889990</v>
      </c>
      <c r="B88" t="s">
        <v>120</v>
      </c>
      <c r="C88" t="str">
        <f>"120473"</f>
        <v>120473</v>
      </c>
      <c r="D88" t="s">
        <v>120</v>
      </c>
      <c r="E88" t="str">
        <f t="shared" si="6"/>
        <v>889</v>
      </c>
      <c r="F88" t="s">
        <v>116</v>
      </c>
      <c r="G88" t="str">
        <f>"01INX"</f>
        <v>01INX</v>
      </c>
      <c r="H88" t="s">
        <v>15</v>
      </c>
      <c r="I88" t="str">
        <f>""</f>
        <v/>
      </c>
      <c r="K88" t="str">
        <f>""</f>
        <v/>
      </c>
    </row>
    <row r="89" spans="1:13" x14ac:dyDescent="0.3">
      <c r="A89" t="str">
        <f>"889991"</f>
        <v>889991</v>
      </c>
      <c r="B89" t="s">
        <v>121</v>
      </c>
      <c r="C89" t="str">
        <f>"120476"</f>
        <v>120476</v>
      </c>
      <c r="D89" t="s">
        <v>121</v>
      </c>
      <c r="E89" t="str">
        <f t="shared" si="6"/>
        <v>889</v>
      </c>
      <c r="F89" t="s">
        <v>116</v>
      </c>
      <c r="G89" t="str">
        <f>"01UNA"</f>
        <v>01UNA</v>
      </c>
      <c r="H89" t="s">
        <v>23</v>
      </c>
      <c r="I89" t="str">
        <f>""</f>
        <v/>
      </c>
      <c r="K89" t="str">
        <f>""</f>
        <v/>
      </c>
    </row>
    <row r="90" spans="1:13" x14ac:dyDescent="0.3">
      <c r="A90" t="str">
        <f>"889992"</f>
        <v>889992</v>
      </c>
      <c r="B90" t="s">
        <v>116</v>
      </c>
      <c r="C90" t="str">
        <f>"100000"</f>
        <v>100000</v>
      </c>
      <c r="D90" t="s">
        <v>49</v>
      </c>
      <c r="E90" t="str">
        <f t="shared" si="6"/>
        <v>889</v>
      </c>
      <c r="F90" t="s">
        <v>116</v>
      </c>
      <c r="G90" t="str">
        <f>"01INX"</f>
        <v>01INX</v>
      </c>
      <c r="H90" t="s">
        <v>15</v>
      </c>
      <c r="I90" t="str">
        <f>""</f>
        <v/>
      </c>
      <c r="K90" t="str">
        <f>""</f>
        <v/>
      </c>
    </row>
    <row r="91" spans="1:13" x14ac:dyDescent="0.3">
      <c r="A91" t="str">
        <f>"889993"</f>
        <v>889993</v>
      </c>
      <c r="B91" t="s">
        <v>122</v>
      </c>
      <c r="C91" t="str">
        <f>"210538"</f>
        <v>210538</v>
      </c>
      <c r="D91" t="s">
        <v>122</v>
      </c>
      <c r="E91" t="str">
        <f t="shared" si="6"/>
        <v>889</v>
      </c>
      <c r="F91" t="s">
        <v>116</v>
      </c>
      <c r="G91" t="str">
        <f>"01UNA"</f>
        <v>01UNA</v>
      </c>
      <c r="H91" t="s">
        <v>23</v>
      </c>
      <c r="I91" t="str">
        <f>""</f>
        <v/>
      </c>
      <c r="K91" t="str">
        <f>""</f>
        <v/>
      </c>
    </row>
    <row r="92" spans="1:13" x14ac:dyDescent="0.3">
      <c r="A92" t="str">
        <f>"889994"</f>
        <v>889994</v>
      </c>
      <c r="B92" t="s">
        <v>123</v>
      </c>
      <c r="C92" t="str">
        <f>"210537"</f>
        <v>210537</v>
      </c>
      <c r="D92" t="s">
        <v>123</v>
      </c>
      <c r="E92" t="str">
        <f t="shared" si="6"/>
        <v>889</v>
      </c>
      <c r="F92" t="s">
        <v>116</v>
      </c>
      <c r="G92" t="str">
        <f>"01INX"</f>
        <v>01INX</v>
      </c>
      <c r="H92" t="s">
        <v>15</v>
      </c>
      <c r="I92" t="str">
        <f>""</f>
        <v/>
      </c>
      <c r="K92" t="str">
        <f>""</f>
        <v/>
      </c>
    </row>
    <row r="93" spans="1:13" x14ac:dyDescent="0.3">
      <c r="A93" t="str">
        <f>"889995"</f>
        <v>889995</v>
      </c>
      <c r="B93" t="s">
        <v>124</v>
      </c>
      <c r="C93" t="str">
        <f>"210535"</f>
        <v>210535</v>
      </c>
      <c r="D93" t="s">
        <v>124</v>
      </c>
      <c r="E93" t="str">
        <f t="shared" si="6"/>
        <v>889</v>
      </c>
      <c r="F93" t="s">
        <v>116</v>
      </c>
      <c r="G93" t="str">
        <f>"04ACS"</f>
        <v>04ACS</v>
      </c>
      <c r="H93" t="s">
        <v>35</v>
      </c>
      <c r="I93" t="str">
        <f>""</f>
        <v/>
      </c>
      <c r="K93" t="str">
        <f>""</f>
        <v/>
      </c>
    </row>
    <row r="94" spans="1:13" x14ac:dyDescent="0.3">
      <c r="A94" t="str">
        <f>"889996"</f>
        <v>889996</v>
      </c>
      <c r="B94" t="s">
        <v>125</v>
      </c>
      <c r="C94" t="str">
        <f>"221078"</f>
        <v>221078</v>
      </c>
      <c r="D94" t="s">
        <v>125</v>
      </c>
      <c r="E94" t="str">
        <f t="shared" si="6"/>
        <v>889</v>
      </c>
      <c r="F94" t="s">
        <v>116</v>
      </c>
      <c r="G94" t="str">
        <f>"02ORF"</f>
        <v>02ORF</v>
      </c>
      <c r="H94" t="s">
        <v>126</v>
      </c>
      <c r="I94" t="str">
        <f>""</f>
        <v/>
      </c>
      <c r="K94" t="str">
        <f>""</f>
        <v/>
      </c>
      <c r="M94" t="s">
        <v>127</v>
      </c>
    </row>
    <row r="95" spans="1:13" x14ac:dyDescent="0.3">
      <c r="A95" t="str">
        <f>"889997"</f>
        <v>889997</v>
      </c>
      <c r="B95" t="s">
        <v>128</v>
      </c>
      <c r="C95" t="str">
        <f>"220505"</f>
        <v>220505</v>
      </c>
      <c r="D95" t="s">
        <v>128</v>
      </c>
      <c r="E95" t="str">
        <f t="shared" si="6"/>
        <v>889</v>
      </c>
      <c r="F95" t="s">
        <v>116</v>
      </c>
      <c r="G95" t="str">
        <f>"01IGO"</f>
        <v>01IGO</v>
      </c>
      <c r="H95" t="s">
        <v>129</v>
      </c>
      <c r="I95" t="str">
        <f>""</f>
        <v/>
      </c>
      <c r="K95" t="str">
        <f>""</f>
        <v/>
      </c>
      <c r="M95" t="s">
        <v>130</v>
      </c>
    </row>
    <row r="96" spans="1:13" x14ac:dyDescent="0.3">
      <c r="A96" t="str">
        <f>"889998"</f>
        <v>889998</v>
      </c>
      <c r="B96" t="s">
        <v>131</v>
      </c>
      <c r="C96" t="str">
        <f>"220378"</f>
        <v>220378</v>
      </c>
      <c r="D96" t="s">
        <v>132</v>
      </c>
      <c r="E96" t="str">
        <f t="shared" si="6"/>
        <v>889</v>
      </c>
      <c r="F96" t="s">
        <v>116</v>
      </c>
      <c r="G96" t="str">
        <f>"01IGO"</f>
        <v>01IGO</v>
      </c>
      <c r="H96" t="s">
        <v>129</v>
      </c>
      <c r="I96" t="str">
        <f>""</f>
        <v/>
      </c>
      <c r="K96" t="str">
        <f>""</f>
        <v/>
      </c>
      <c r="M96" t="s">
        <v>133</v>
      </c>
    </row>
    <row r="97" spans="1:13" x14ac:dyDescent="0.3">
      <c r="A97" t="str">
        <f>"889999"</f>
        <v>889999</v>
      </c>
      <c r="B97" t="s">
        <v>134</v>
      </c>
      <c r="C97" t="str">
        <f>"160117"</f>
        <v>160117</v>
      </c>
      <c r="D97" t="s">
        <v>134</v>
      </c>
      <c r="E97" t="str">
        <f t="shared" si="6"/>
        <v>889</v>
      </c>
      <c r="F97" t="s">
        <v>116</v>
      </c>
      <c r="G97" t="str">
        <f>"01INX"</f>
        <v>01INX</v>
      </c>
      <c r="H97" t="s">
        <v>15</v>
      </c>
      <c r="I97" t="str">
        <f>""</f>
        <v/>
      </c>
      <c r="K97" t="str">
        <f>""</f>
        <v/>
      </c>
    </row>
    <row r="98" spans="1:13" x14ac:dyDescent="0.3">
      <c r="A98" t="str">
        <f>"889986"</f>
        <v>889986</v>
      </c>
      <c r="B98" t="s">
        <v>135</v>
      </c>
      <c r="C98" t="str">
        <f>"110000"</f>
        <v>110000</v>
      </c>
      <c r="D98" t="s">
        <v>136</v>
      </c>
      <c r="E98" t="str">
        <f t="shared" si="6"/>
        <v>889</v>
      </c>
      <c r="F98" t="s">
        <v>116</v>
      </c>
      <c r="G98" t="str">
        <f>"01DRO"</f>
        <v>01DRO</v>
      </c>
      <c r="H98" t="s">
        <v>43</v>
      </c>
      <c r="I98" t="str">
        <f>""</f>
        <v/>
      </c>
      <c r="K98" t="str">
        <f>""</f>
        <v/>
      </c>
    </row>
    <row r="99" spans="1:13" x14ac:dyDescent="0.3">
      <c r="A99" t="str">
        <f>"889985"</f>
        <v>889985</v>
      </c>
      <c r="B99" t="s">
        <v>137</v>
      </c>
      <c r="C99" t="str">
        <f>"222799"</f>
        <v>222799</v>
      </c>
      <c r="D99" t="s">
        <v>137</v>
      </c>
      <c r="E99" t="str">
        <f t="shared" si="6"/>
        <v>889</v>
      </c>
      <c r="F99" t="s">
        <v>116</v>
      </c>
      <c r="G99" t="str">
        <f>"03PSO"</f>
        <v>03PSO</v>
      </c>
      <c r="H99" t="s">
        <v>47</v>
      </c>
      <c r="I99" t="str">
        <f>""</f>
        <v/>
      </c>
      <c r="K99" t="str">
        <f>""</f>
        <v/>
      </c>
      <c r="M99" t="s">
        <v>138</v>
      </c>
    </row>
    <row r="100" spans="1:13" x14ac:dyDescent="0.3">
      <c r="A100" t="str">
        <f>"889984"</f>
        <v>889984</v>
      </c>
      <c r="B100" t="s">
        <v>139</v>
      </c>
      <c r="C100" t="str">
        <f>"210539"</f>
        <v>210539</v>
      </c>
      <c r="D100" t="s">
        <v>139</v>
      </c>
      <c r="E100" t="str">
        <f t="shared" si="6"/>
        <v>889</v>
      </c>
      <c r="F100" t="s">
        <v>116</v>
      </c>
      <c r="G100" t="str">
        <f>"01UNA"</f>
        <v>01UNA</v>
      </c>
      <c r="H100" t="s">
        <v>23</v>
      </c>
      <c r="I100" t="str">
        <f>""</f>
        <v/>
      </c>
      <c r="K100" t="str">
        <f>""</f>
        <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2"/>
  <sheetViews>
    <sheetView showGridLines="0" tabSelected="1" workbookViewId="0">
      <selection activeCell="L24" sqref="L24"/>
    </sheetView>
  </sheetViews>
  <sheetFormatPr defaultRowHeight="14.4" x14ac:dyDescent="0.3"/>
  <cols>
    <col min="1" max="1" width="36.33203125" bestFit="1" customWidth="1"/>
    <col min="2" max="2" width="12.6640625" bestFit="1" customWidth="1"/>
    <col min="3" max="3" width="7.44140625" bestFit="1" customWidth="1"/>
    <col min="4" max="4" width="32.6640625" bestFit="1" customWidth="1"/>
    <col min="5" max="5" width="8.6640625" customWidth="1"/>
    <col min="6" max="6" width="28" bestFit="1" customWidth="1"/>
    <col min="7" max="7" width="12.6640625" bestFit="1" customWidth="1"/>
  </cols>
  <sheetData>
    <row r="1" spans="1:14" x14ac:dyDescent="0.3">
      <c r="A1" s="2"/>
      <c r="B1" s="2"/>
      <c r="C1" s="2"/>
      <c r="D1" s="2"/>
      <c r="E1" s="2"/>
      <c r="F1" s="2"/>
      <c r="G1" s="2"/>
      <c r="H1" s="2"/>
      <c r="I1" s="2"/>
      <c r="J1" s="2"/>
      <c r="K1" s="2"/>
      <c r="L1" s="2"/>
      <c r="M1" s="2"/>
      <c r="N1" s="2"/>
    </row>
    <row r="2" spans="1:14" x14ac:dyDescent="0.3">
      <c r="A2" s="2"/>
      <c r="B2" s="2"/>
      <c r="C2" s="2"/>
      <c r="D2" s="2"/>
      <c r="E2" s="2"/>
      <c r="F2" s="2"/>
      <c r="G2" s="2"/>
      <c r="H2" s="2"/>
      <c r="I2" s="2"/>
      <c r="J2" s="2"/>
      <c r="K2" s="2"/>
      <c r="L2" s="2"/>
      <c r="M2" s="2"/>
      <c r="N2" s="2"/>
    </row>
    <row r="3" spans="1:14" x14ac:dyDescent="0.3">
      <c r="A3" s="2"/>
      <c r="B3" s="2"/>
      <c r="C3" s="2"/>
      <c r="D3" s="2"/>
      <c r="E3" s="2"/>
      <c r="F3" s="2"/>
      <c r="G3" s="2"/>
      <c r="H3" s="2"/>
      <c r="I3" s="2"/>
      <c r="J3" s="2"/>
      <c r="K3" s="2"/>
      <c r="L3" s="2"/>
      <c r="M3" s="2"/>
      <c r="N3" s="2"/>
    </row>
    <row r="4" spans="1:14" x14ac:dyDescent="0.3">
      <c r="A4" s="2"/>
      <c r="B4" s="2"/>
      <c r="C4" s="2"/>
      <c r="D4" s="2"/>
      <c r="E4" s="2"/>
      <c r="F4" s="2"/>
      <c r="G4" s="2"/>
      <c r="H4" s="2"/>
      <c r="I4" s="2"/>
      <c r="J4" s="2"/>
      <c r="K4" s="2"/>
      <c r="L4" s="2"/>
      <c r="M4" s="2"/>
      <c r="N4" s="2"/>
    </row>
    <row r="5" spans="1:14" x14ac:dyDescent="0.3">
      <c r="A5" s="2"/>
      <c r="B5" s="2"/>
      <c r="C5" s="2"/>
      <c r="D5" s="2"/>
      <c r="E5" s="2"/>
      <c r="F5" s="2"/>
      <c r="G5" s="2"/>
      <c r="H5" s="2"/>
      <c r="I5" s="2"/>
      <c r="J5" s="2"/>
      <c r="K5" s="2"/>
      <c r="L5" s="2"/>
      <c r="M5" s="2"/>
      <c r="N5" s="2"/>
    </row>
    <row r="6" spans="1:14" x14ac:dyDescent="0.3">
      <c r="A6" s="2"/>
      <c r="B6" s="2"/>
      <c r="C6" s="2"/>
      <c r="D6" s="2"/>
      <c r="E6" s="2"/>
      <c r="F6" s="2"/>
      <c r="G6" s="2"/>
      <c r="H6" s="2"/>
      <c r="I6" s="2"/>
      <c r="J6" s="2"/>
      <c r="K6" s="2"/>
      <c r="L6" s="2"/>
      <c r="M6" s="2"/>
      <c r="N6" s="2"/>
    </row>
    <row r="7" spans="1:14" x14ac:dyDescent="0.3">
      <c r="A7" s="2"/>
      <c r="B7" s="2"/>
      <c r="C7" s="2"/>
      <c r="D7" s="2"/>
      <c r="E7" s="2"/>
      <c r="F7" s="2"/>
      <c r="G7" s="2"/>
      <c r="H7" s="2"/>
      <c r="I7" s="2"/>
      <c r="J7" s="2"/>
      <c r="K7" s="2"/>
      <c r="L7" s="2"/>
      <c r="M7" s="2"/>
      <c r="N7" s="2"/>
    </row>
    <row r="8" spans="1:14" x14ac:dyDescent="0.3">
      <c r="A8" s="2"/>
      <c r="B8" s="2"/>
      <c r="C8" s="2"/>
      <c r="D8" s="2"/>
      <c r="E8" s="2"/>
      <c r="F8" s="2"/>
      <c r="G8" s="2"/>
      <c r="H8" s="2"/>
      <c r="I8" s="2"/>
      <c r="J8" s="2"/>
      <c r="K8" s="2"/>
      <c r="L8" s="2"/>
      <c r="M8" s="2"/>
      <c r="N8" s="2"/>
    </row>
    <row r="9" spans="1:14" x14ac:dyDescent="0.3">
      <c r="A9" s="2"/>
      <c r="B9" s="2"/>
      <c r="C9" s="2"/>
      <c r="D9" s="2"/>
      <c r="E9" s="2"/>
      <c r="F9" s="2"/>
      <c r="G9" s="2"/>
      <c r="H9" s="2"/>
      <c r="I9" s="2"/>
      <c r="J9" s="2"/>
      <c r="K9" s="2"/>
      <c r="L9" s="2"/>
      <c r="M9" s="2"/>
      <c r="N9" s="2"/>
    </row>
    <row r="10" spans="1:14" x14ac:dyDescent="0.3">
      <c r="A10" s="2"/>
      <c r="B10" s="2"/>
      <c r="C10" s="2"/>
      <c r="D10" s="2"/>
      <c r="E10" s="2"/>
      <c r="F10" s="2"/>
      <c r="G10" s="2"/>
      <c r="H10" s="2"/>
      <c r="I10" s="2"/>
      <c r="J10" s="2"/>
      <c r="K10" s="2"/>
      <c r="L10" s="2"/>
      <c r="M10" s="2"/>
      <c r="N10" s="2"/>
    </row>
    <row r="11" spans="1:14" x14ac:dyDescent="0.3">
      <c r="A11" s="2"/>
      <c r="B11" s="2"/>
      <c r="C11" s="2"/>
      <c r="D11" s="2"/>
      <c r="E11" s="2"/>
      <c r="F11" s="2"/>
      <c r="G11" s="2"/>
      <c r="H11" s="2"/>
      <c r="I11" s="2"/>
      <c r="J11" s="2"/>
      <c r="K11" s="2"/>
      <c r="L11" s="2"/>
      <c r="M11" s="2"/>
      <c r="N11" s="2"/>
    </row>
    <row r="12" spans="1:14" x14ac:dyDescent="0.3">
      <c r="A12" s="2"/>
      <c r="B12" s="2"/>
      <c r="C12" s="2"/>
      <c r="D12" s="2"/>
      <c r="E12" s="2"/>
      <c r="F12" s="2"/>
      <c r="G12" s="2"/>
      <c r="H12" s="2"/>
      <c r="I12" s="2"/>
      <c r="J12" s="2"/>
      <c r="K12" s="2"/>
      <c r="L12" s="2"/>
      <c r="M12" s="2"/>
      <c r="N12" s="2"/>
    </row>
    <row r="13" spans="1:14" x14ac:dyDescent="0.3">
      <c r="A13" s="2"/>
      <c r="B13" s="2"/>
      <c r="C13" s="2"/>
      <c r="D13" s="2"/>
      <c r="E13" s="2"/>
      <c r="F13" s="2"/>
      <c r="G13" s="2"/>
      <c r="H13" s="2"/>
      <c r="I13" s="2"/>
      <c r="J13" s="2"/>
      <c r="K13" s="2"/>
      <c r="L13" s="2"/>
      <c r="M13" s="2"/>
      <c r="N13" s="2"/>
    </row>
    <row r="14" spans="1:14" x14ac:dyDescent="0.3">
      <c r="A14" s="2"/>
      <c r="B14" s="2"/>
      <c r="C14" s="2"/>
      <c r="D14" s="2"/>
      <c r="E14" s="2"/>
      <c r="F14" s="2"/>
      <c r="G14" s="2"/>
      <c r="H14" s="2"/>
      <c r="I14" s="2"/>
      <c r="J14" s="2"/>
      <c r="K14" s="2"/>
      <c r="L14" s="2"/>
      <c r="M14" s="2"/>
      <c r="N14" s="2"/>
    </row>
    <row r="15" spans="1:14" x14ac:dyDescent="0.3">
      <c r="A15" s="2"/>
      <c r="B15" s="2"/>
      <c r="C15" s="2"/>
      <c r="D15" s="2"/>
      <c r="E15" s="2"/>
      <c r="F15" s="2"/>
      <c r="G15" s="2"/>
      <c r="H15" s="2"/>
      <c r="I15" s="2"/>
      <c r="J15" s="2"/>
      <c r="K15" s="2"/>
      <c r="L15" s="2"/>
      <c r="M15" s="2"/>
      <c r="N15" s="2"/>
    </row>
    <row r="16" spans="1:14" x14ac:dyDescent="0.3">
      <c r="A16" s="2"/>
      <c r="B16" s="2"/>
      <c r="C16" s="2"/>
      <c r="D16" s="2"/>
      <c r="E16" s="2"/>
      <c r="F16" s="2"/>
      <c r="G16" s="2"/>
      <c r="H16" s="2"/>
      <c r="I16" s="2"/>
      <c r="J16" s="2"/>
      <c r="K16" s="2"/>
      <c r="L16" s="2"/>
      <c r="M16" s="2"/>
      <c r="N16" s="2"/>
    </row>
    <row r="17" spans="1:14" x14ac:dyDescent="0.3">
      <c r="A17" s="2"/>
      <c r="B17" s="2"/>
      <c r="C17" s="2"/>
      <c r="D17" s="2"/>
      <c r="E17" s="2"/>
      <c r="F17" s="2"/>
      <c r="G17" s="2"/>
      <c r="H17" s="2"/>
      <c r="I17" s="2"/>
      <c r="J17" s="2"/>
      <c r="K17" s="2"/>
      <c r="L17" s="2"/>
      <c r="M17" s="2"/>
      <c r="N17" s="2"/>
    </row>
    <row r="18" spans="1:14" x14ac:dyDescent="0.3">
      <c r="A18" s="2"/>
      <c r="B18" s="2"/>
      <c r="C18" s="2"/>
      <c r="D18" s="2"/>
      <c r="E18" s="2"/>
      <c r="F18" s="2"/>
      <c r="G18" s="2"/>
      <c r="H18" s="2"/>
      <c r="I18" s="2"/>
      <c r="J18" s="2"/>
      <c r="K18" s="2"/>
      <c r="L18" s="2"/>
      <c r="M18" s="2"/>
      <c r="N18" s="2"/>
    </row>
    <row r="19" spans="1:14" x14ac:dyDescent="0.3">
      <c r="A19" s="2"/>
      <c r="B19" s="2"/>
      <c r="C19" s="2"/>
      <c r="D19" s="2"/>
      <c r="E19" s="2"/>
      <c r="F19" s="2"/>
      <c r="G19" s="2"/>
      <c r="H19" s="2"/>
      <c r="I19" s="2"/>
      <c r="J19" s="2"/>
      <c r="K19" s="2"/>
      <c r="L19" s="2"/>
      <c r="M19" s="2"/>
      <c r="N19" s="2"/>
    </row>
    <row r="20" spans="1:14" x14ac:dyDescent="0.3">
      <c r="A20" s="2"/>
      <c r="B20" s="2"/>
      <c r="C20" s="2"/>
      <c r="D20" s="2"/>
      <c r="E20" s="2"/>
      <c r="F20" s="2"/>
      <c r="G20" s="2"/>
      <c r="H20" s="2"/>
      <c r="I20" s="2"/>
      <c r="J20" s="2"/>
      <c r="K20" s="2"/>
      <c r="L20" s="2"/>
      <c r="M20" s="2"/>
      <c r="N20" s="2"/>
    </row>
    <row r="21" spans="1:14" x14ac:dyDescent="0.3">
      <c r="A21" s="2"/>
      <c r="B21" s="2"/>
      <c r="C21" s="2"/>
      <c r="D21" s="2"/>
      <c r="E21" s="2"/>
      <c r="F21" s="2"/>
      <c r="G21" s="2"/>
      <c r="H21" s="2"/>
      <c r="I21" s="2"/>
      <c r="J21" s="2"/>
      <c r="K21" s="2"/>
      <c r="L21" s="2"/>
      <c r="M21" s="2"/>
      <c r="N21" s="2"/>
    </row>
    <row r="22" spans="1:14" x14ac:dyDescent="0.3">
      <c r="A22" s="2"/>
      <c r="B22" s="2"/>
      <c r="C22" s="2"/>
      <c r="D22" s="2"/>
      <c r="E22" s="2"/>
      <c r="F22" s="2"/>
      <c r="G22" s="2"/>
      <c r="H22" s="2"/>
      <c r="I22" s="2"/>
      <c r="J22" s="2"/>
      <c r="K22" s="2"/>
      <c r="L22" s="2"/>
      <c r="M22" s="2"/>
      <c r="N22" s="2"/>
    </row>
    <row r="23" spans="1:14" x14ac:dyDescent="0.3">
      <c r="A23" s="2"/>
      <c r="B23" s="2"/>
      <c r="C23" s="2"/>
      <c r="D23" s="2"/>
      <c r="E23" s="2"/>
      <c r="F23" s="2"/>
      <c r="G23" s="2"/>
      <c r="H23" s="2"/>
      <c r="I23" s="2"/>
      <c r="J23" s="2"/>
      <c r="K23" s="2"/>
      <c r="L23" s="2"/>
      <c r="M23" s="2"/>
      <c r="N23" s="2"/>
    </row>
    <row r="24" spans="1:14" x14ac:dyDescent="0.3">
      <c r="A24" s="2"/>
      <c r="B24" s="2"/>
      <c r="C24" s="2"/>
      <c r="D24" s="2"/>
      <c r="E24" s="2"/>
      <c r="F24" s="2"/>
      <c r="G24" s="2"/>
      <c r="H24" s="2"/>
      <c r="I24" s="2"/>
      <c r="J24" s="2"/>
      <c r="K24" s="2"/>
      <c r="L24" s="2"/>
      <c r="M24" s="2"/>
      <c r="N24" s="2"/>
    </row>
    <row r="25" spans="1:14" x14ac:dyDescent="0.3">
      <c r="A25" s="2"/>
      <c r="B25" s="2"/>
      <c r="C25" s="2"/>
      <c r="D25" s="2"/>
      <c r="E25" s="2"/>
      <c r="F25" s="2"/>
      <c r="G25" s="2"/>
      <c r="H25" s="2"/>
      <c r="I25" s="2"/>
      <c r="J25" s="2"/>
      <c r="K25" s="2"/>
      <c r="L25" s="2"/>
      <c r="M25" s="2"/>
      <c r="N25" s="2"/>
    </row>
    <row r="26" spans="1:14" x14ac:dyDescent="0.3">
      <c r="A26" s="1" t="s">
        <v>1</v>
      </c>
      <c r="B26" s="1" t="s">
        <v>0</v>
      </c>
      <c r="C26" s="1" t="s">
        <v>2</v>
      </c>
      <c r="D26" s="1" t="s">
        <v>3</v>
      </c>
      <c r="E26" s="1" t="s">
        <v>4</v>
      </c>
      <c r="F26" s="1" t="s">
        <v>5</v>
      </c>
      <c r="G26" s="2"/>
      <c r="H26" s="2"/>
      <c r="I26" s="2"/>
      <c r="J26" s="2"/>
      <c r="K26" s="2"/>
      <c r="L26" s="2"/>
      <c r="M26" s="2"/>
      <c r="N26" s="2"/>
    </row>
    <row r="27" spans="1:14" x14ac:dyDescent="0.3">
      <c r="A27" t="s">
        <v>99</v>
      </c>
      <c r="B27" t="s">
        <v>140</v>
      </c>
      <c r="C27" t="s">
        <v>239</v>
      </c>
      <c r="D27" t="s">
        <v>49</v>
      </c>
      <c r="E27" t="s">
        <v>328</v>
      </c>
      <c r="F27" t="s">
        <v>99</v>
      </c>
      <c r="G27" s="2"/>
      <c r="H27" s="2"/>
      <c r="I27" s="2"/>
      <c r="J27" s="2"/>
      <c r="K27" s="2"/>
      <c r="L27" s="2"/>
      <c r="M27" s="2"/>
      <c r="N27" s="2"/>
    </row>
    <row r="28" spans="1:14" x14ac:dyDescent="0.3">
      <c r="A28" t="s">
        <v>105</v>
      </c>
      <c r="B28" t="s">
        <v>141</v>
      </c>
      <c r="C28" t="s">
        <v>240</v>
      </c>
      <c r="D28" t="s">
        <v>105</v>
      </c>
      <c r="E28" t="s">
        <v>328</v>
      </c>
      <c r="F28" t="s">
        <v>99</v>
      </c>
      <c r="G28" s="2"/>
      <c r="H28" s="2"/>
      <c r="I28" s="2"/>
      <c r="J28" s="2"/>
      <c r="K28" s="2"/>
      <c r="L28" s="2"/>
      <c r="M28" s="2"/>
      <c r="N28" s="2"/>
    </row>
    <row r="29" spans="1:14" x14ac:dyDescent="0.3">
      <c r="A29" t="s">
        <v>102</v>
      </c>
      <c r="B29" t="s">
        <v>142</v>
      </c>
      <c r="C29" t="s">
        <v>241</v>
      </c>
      <c r="D29" t="s">
        <v>102</v>
      </c>
      <c r="E29" t="s">
        <v>328</v>
      </c>
      <c r="F29" t="s">
        <v>99</v>
      </c>
      <c r="G29" s="2"/>
      <c r="H29" s="2"/>
      <c r="I29" s="2"/>
      <c r="J29" s="2"/>
      <c r="K29" s="2"/>
      <c r="L29" s="2"/>
      <c r="M29" s="2"/>
      <c r="N29" s="2"/>
    </row>
    <row r="30" spans="1:14" x14ac:dyDescent="0.3">
      <c r="A30" t="s">
        <v>111</v>
      </c>
      <c r="B30" t="s">
        <v>143</v>
      </c>
      <c r="C30" t="s">
        <v>242</v>
      </c>
      <c r="D30" t="s">
        <v>112</v>
      </c>
      <c r="E30" t="s">
        <v>328</v>
      </c>
      <c r="F30" t="s">
        <v>99</v>
      </c>
      <c r="G30" s="2"/>
      <c r="H30" s="2"/>
      <c r="I30" s="2"/>
      <c r="J30" s="2"/>
      <c r="K30" s="2"/>
      <c r="L30" s="2"/>
      <c r="M30" s="2"/>
      <c r="N30" s="2"/>
    </row>
    <row r="31" spans="1:14" x14ac:dyDescent="0.3">
      <c r="A31" t="s">
        <v>113</v>
      </c>
      <c r="B31" t="s">
        <v>144</v>
      </c>
      <c r="C31" t="s">
        <v>243</v>
      </c>
      <c r="D31" t="s">
        <v>113</v>
      </c>
      <c r="E31" t="s">
        <v>328</v>
      </c>
      <c r="F31" t="s">
        <v>99</v>
      </c>
      <c r="G31" s="2"/>
      <c r="H31" s="2"/>
      <c r="I31" s="2"/>
      <c r="J31" s="2"/>
      <c r="K31" s="2"/>
      <c r="L31" s="2"/>
      <c r="M31" s="2"/>
      <c r="N31" s="2"/>
    </row>
    <row r="32" spans="1:14" x14ac:dyDescent="0.3">
      <c r="A32" t="s">
        <v>109</v>
      </c>
      <c r="B32" t="s">
        <v>145</v>
      </c>
      <c r="C32" t="s">
        <v>244</v>
      </c>
      <c r="D32" t="s">
        <v>109</v>
      </c>
      <c r="E32" t="s">
        <v>328</v>
      </c>
      <c r="F32" t="s">
        <v>99</v>
      </c>
      <c r="G32" s="2"/>
      <c r="H32" s="2"/>
      <c r="I32" s="2"/>
      <c r="J32" s="2"/>
      <c r="K32" s="2"/>
      <c r="L32" s="2"/>
      <c r="M32" s="2"/>
      <c r="N32" s="2"/>
    </row>
    <row r="33" spans="1:14" x14ac:dyDescent="0.3">
      <c r="A33" t="s">
        <v>106</v>
      </c>
      <c r="B33" t="s">
        <v>146</v>
      </c>
      <c r="C33" t="s">
        <v>245</v>
      </c>
      <c r="D33" t="s">
        <v>106</v>
      </c>
      <c r="E33" t="s">
        <v>328</v>
      </c>
      <c r="F33" t="s">
        <v>99</v>
      </c>
      <c r="G33" s="2"/>
      <c r="H33" s="2"/>
      <c r="I33" s="2"/>
      <c r="J33" s="2"/>
      <c r="K33" s="2"/>
      <c r="L33" s="2"/>
      <c r="M33" s="2"/>
      <c r="N33" s="2"/>
    </row>
    <row r="34" spans="1:14" x14ac:dyDescent="0.3">
      <c r="A34" t="s">
        <v>81</v>
      </c>
      <c r="B34" t="s">
        <v>147</v>
      </c>
      <c r="C34" t="s">
        <v>246</v>
      </c>
      <c r="D34" t="s">
        <v>81</v>
      </c>
      <c r="E34" t="s">
        <v>329</v>
      </c>
      <c r="F34" t="s">
        <v>14</v>
      </c>
      <c r="G34" s="2"/>
      <c r="H34" s="2"/>
      <c r="I34" s="2"/>
      <c r="J34" s="2"/>
      <c r="K34" s="2"/>
      <c r="L34" s="2"/>
      <c r="M34" s="2"/>
      <c r="N34" s="2"/>
    </row>
    <row r="35" spans="1:14" x14ac:dyDescent="0.3">
      <c r="A35" t="s">
        <v>104</v>
      </c>
      <c r="B35" t="s">
        <v>148</v>
      </c>
      <c r="C35" t="s">
        <v>247</v>
      </c>
      <c r="D35" t="s">
        <v>104</v>
      </c>
      <c r="E35" t="s">
        <v>328</v>
      </c>
      <c r="F35" t="s">
        <v>99</v>
      </c>
      <c r="G35" s="2"/>
      <c r="H35" s="2"/>
      <c r="I35" s="2"/>
      <c r="J35" s="2"/>
      <c r="K35" s="2"/>
      <c r="L35" s="2"/>
      <c r="M35" s="2"/>
      <c r="N35" s="2"/>
    </row>
    <row r="36" spans="1:14" x14ac:dyDescent="0.3">
      <c r="A36" t="s">
        <v>76</v>
      </c>
      <c r="B36" t="s">
        <v>149</v>
      </c>
      <c r="C36" t="s">
        <v>248</v>
      </c>
      <c r="D36" t="s">
        <v>76</v>
      </c>
      <c r="E36" t="s">
        <v>329</v>
      </c>
      <c r="F36" t="s">
        <v>14</v>
      </c>
      <c r="G36" s="2"/>
      <c r="H36" s="2"/>
      <c r="I36" s="2"/>
      <c r="J36" s="2"/>
      <c r="K36" s="2"/>
      <c r="L36" s="2"/>
      <c r="M36" s="2"/>
      <c r="N36" s="2"/>
    </row>
    <row r="37" spans="1:14" x14ac:dyDescent="0.3">
      <c r="A37" t="s">
        <v>21</v>
      </c>
      <c r="B37" t="s">
        <v>150</v>
      </c>
      <c r="C37" t="s">
        <v>249</v>
      </c>
      <c r="D37" t="s">
        <v>21</v>
      </c>
      <c r="E37" t="s">
        <v>329</v>
      </c>
      <c r="F37" t="s">
        <v>14</v>
      </c>
      <c r="G37" s="2"/>
      <c r="H37" s="2"/>
      <c r="I37" s="2"/>
      <c r="J37" s="2"/>
      <c r="K37" s="2"/>
      <c r="L37" s="2"/>
      <c r="M37" s="2"/>
      <c r="N37" s="2"/>
    </row>
    <row r="38" spans="1:14" x14ac:dyDescent="0.3">
      <c r="A38" t="s">
        <v>67</v>
      </c>
      <c r="B38" t="s">
        <v>151</v>
      </c>
      <c r="C38" t="s">
        <v>250</v>
      </c>
      <c r="D38" t="s">
        <v>67</v>
      </c>
      <c r="E38" t="s">
        <v>329</v>
      </c>
      <c r="F38" t="s">
        <v>14</v>
      </c>
      <c r="G38" s="2"/>
      <c r="H38" s="2"/>
      <c r="I38" s="2"/>
      <c r="J38" s="2"/>
      <c r="K38" s="2"/>
      <c r="L38" s="2"/>
      <c r="M38" s="2"/>
      <c r="N38" s="2"/>
    </row>
    <row r="39" spans="1:14" x14ac:dyDescent="0.3">
      <c r="A39" t="s">
        <v>137</v>
      </c>
      <c r="B39" t="s">
        <v>152</v>
      </c>
      <c r="C39" t="s">
        <v>251</v>
      </c>
      <c r="D39" t="s">
        <v>137</v>
      </c>
      <c r="E39" t="s">
        <v>330</v>
      </c>
      <c r="F39" t="s">
        <v>116</v>
      </c>
      <c r="G39" s="2"/>
      <c r="H39" s="2"/>
      <c r="I39" s="2"/>
      <c r="J39" s="2"/>
      <c r="K39" s="2"/>
      <c r="L39" s="2"/>
      <c r="M39" s="2"/>
      <c r="N39" s="2"/>
    </row>
    <row r="40" spans="1:14" x14ac:dyDescent="0.3">
      <c r="A40" t="s">
        <v>82</v>
      </c>
      <c r="B40" t="s">
        <v>153</v>
      </c>
      <c r="C40" t="s">
        <v>252</v>
      </c>
      <c r="D40" t="s">
        <v>82</v>
      </c>
      <c r="E40" t="s">
        <v>329</v>
      </c>
      <c r="F40" t="s">
        <v>14</v>
      </c>
      <c r="G40" s="2"/>
      <c r="H40" s="2"/>
      <c r="I40" s="2"/>
      <c r="J40" s="2"/>
      <c r="K40" s="2"/>
      <c r="L40" s="2"/>
      <c r="M40" s="2"/>
      <c r="N40" s="2"/>
    </row>
    <row r="41" spans="1:14" x14ac:dyDescent="0.3">
      <c r="A41" t="s">
        <v>61</v>
      </c>
      <c r="B41" t="s">
        <v>154</v>
      </c>
      <c r="C41" t="s">
        <v>239</v>
      </c>
      <c r="D41" t="s">
        <v>49</v>
      </c>
      <c r="E41" t="s">
        <v>329</v>
      </c>
      <c r="F41" t="s">
        <v>14</v>
      </c>
      <c r="G41" s="2"/>
      <c r="H41" s="2"/>
      <c r="I41" s="2"/>
      <c r="J41" s="2"/>
      <c r="K41" s="2"/>
      <c r="L41" s="2"/>
      <c r="M41" s="2"/>
      <c r="N41" s="2"/>
    </row>
    <row r="42" spans="1:14" x14ac:dyDescent="0.3">
      <c r="A42" t="s">
        <v>58</v>
      </c>
      <c r="B42" t="s">
        <v>155</v>
      </c>
      <c r="C42" t="s">
        <v>239</v>
      </c>
      <c r="D42" t="s">
        <v>49</v>
      </c>
      <c r="E42" t="s">
        <v>329</v>
      </c>
      <c r="F42" t="s">
        <v>14</v>
      </c>
      <c r="G42" s="2"/>
      <c r="H42" s="2"/>
      <c r="I42" s="2"/>
      <c r="J42" s="2"/>
      <c r="K42" s="2"/>
      <c r="L42" s="2"/>
      <c r="M42" s="2"/>
      <c r="N42" s="2"/>
    </row>
    <row r="43" spans="1:14" x14ac:dyDescent="0.3">
      <c r="A43" t="s">
        <v>33</v>
      </c>
      <c r="B43" t="s">
        <v>156</v>
      </c>
      <c r="C43" t="s">
        <v>253</v>
      </c>
      <c r="D43" t="s">
        <v>33</v>
      </c>
      <c r="E43" t="s">
        <v>329</v>
      </c>
      <c r="F43" t="s">
        <v>14</v>
      </c>
      <c r="G43" s="2"/>
      <c r="H43" s="2"/>
      <c r="I43" s="2"/>
      <c r="J43" s="2"/>
      <c r="K43" s="2"/>
      <c r="L43" s="2"/>
      <c r="M43" s="2"/>
      <c r="N43" s="2"/>
    </row>
    <row r="44" spans="1:14" x14ac:dyDescent="0.3">
      <c r="A44" t="s">
        <v>83</v>
      </c>
      <c r="B44" t="s">
        <v>157</v>
      </c>
      <c r="C44" t="s">
        <v>254</v>
      </c>
      <c r="D44" t="s">
        <v>84</v>
      </c>
      <c r="E44" t="s">
        <v>329</v>
      </c>
      <c r="F44" t="s">
        <v>14</v>
      </c>
      <c r="G44" s="2"/>
      <c r="H44" s="2"/>
      <c r="I44" s="2"/>
      <c r="J44" s="2"/>
      <c r="K44" s="2"/>
      <c r="L44" s="2"/>
      <c r="M44" s="2"/>
      <c r="N44" s="2"/>
    </row>
    <row r="45" spans="1:14" x14ac:dyDescent="0.3">
      <c r="A45" t="s">
        <v>116</v>
      </c>
      <c r="B45" t="s">
        <v>158</v>
      </c>
      <c r="C45" t="s">
        <v>239</v>
      </c>
      <c r="D45" t="s">
        <v>49</v>
      </c>
      <c r="E45" t="s">
        <v>330</v>
      </c>
      <c r="F45" t="s">
        <v>116</v>
      </c>
      <c r="G45" s="2"/>
      <c r="H45" s="2"/>
      <c r="I45" s="2"/>
      <c r="J45" s="2"/>
      <c r="K45" s="2"/>
      <c r="L45" s="2"/>
      <c r="M45" s="2"/>
      <c r="N45" s="2"/>
    </row>
    <row r="46" spans="1:14" x14ac:dyDescent="0.3">
      <c r="A46" t="s">
        <v>59</v>
      </c>
      <c r="B46" t="s">
        <v>159</v>
      </c>
      <c r="C46" t="s">
        <v>239</v>
      </c>
      <c r="D46" t="s">
        <v>49</v>
      </c>
      <c r="E46" t="s">
        <v>329</v>
      </c>
      <c r="F46" t="s">
        <v>14</v>
      </c>
      <c r="G46" s="2"/>
      <c r="H46" s="2"/>
      <c r="I46" s="2"/>
      <c r="J46" s="2"/>
      <c r="K46" s="2"/>
      <c r="L46" s="2"/>
      <c r="M46" s="2"/>
      <c r="N46" s="2"/>
    </row>
    <row r="47" spans="1:14" x14ac:dyDescent="0.3">
      <c r="A47" t="s">
        <v>48</v>
      </c>
      <c r="B47" t="s">
        <v>160</v>
      </c>
      <c r="C47" t="s">
        <v>239</v>
      </c>
      <c r="D47" t="s">
        <v>49</v>
      </c>
      <c r="E47" t="s">
        <v>329</v>
      </c>
      <c r="F47" t="s">
        <v>14</v>
      </c>
      <c r="G47" s="2"/>
      <c r="H47" s="2"/>
      <c r="I47" s="2"/>
      <c r="J47" s="2"/>
      <c r="K47" s="2"/>
      <c r="L47" s="2"/>
      <c r="M47" s="2"/>
      <c r="N47" s="2"/>
    </row>
    <row r="48" spans="1:14" x14ac:dyDescent="0.3">
      <c r="A48" t="s">
        <v>121</v>
      </c>
      <c r="B48" t="s">
        <v>161</v>
      </c>
      <c r="C48" t="s">
        <v>255</v>
      </c>
      <c r="D48" t="s">
        <v>121</v>
      </c>
      <c r="E48" t="s">
        <v>330</v>
      </c>
      <c r="F48" t="s">
        <v>116</v>
      </c>
      <c r="G48" s="2"/>
      <c r="H48" s="2"/>
      <c r="I48" s="2"/>
      <c r="J48" s="2"/>
      <c r="K48" s="2"/>
      <c r="L48" s="2"/>
      <c r="M48" s="2"/>
      <c r="N48" s="2"/>
    </row>
    <row r="49" spans="1:14" x14ac:dyDescent="0.3">
      <c r="A49" t="s">
        <v>124</v>
      </c>
      <c r="B49" t="s">
        <v>162</v>
      </c>
      <c r="C49" t="s">
        <v>256</v>
      </c>
      <c r="D49" t="s">
        <v>124</v>
      </c>
      <c r="E49" t="s">
        <v>330</v>
      </c>
      <c r="F49" t="s">
        <v>116</v>
      </c>
      <c r="G49" s="2"/>
      <c r="H49" s="2"/>
      <c r="I49" s="2"/>
      <c r="J49" s="2"/>
      <c r="K49" s="2"/>
      <c r="L49" s="2"/>
      <c r="M49" s="2"/>
      <c r="N49" s="2"/>
    </row>
    <row r="50" spans="1:14" x14ac:dyDescent="0.3">
      <c r="A50" t="s">
        <v>63</v>
      </c>
      <c r="B50" t="s">
        <v>163</v>
      </c>
      <c r="C50" t="s">
        <v>257</v>
      </c>
      <c r="D50" t="s">
        <v>63</v>
      </c>
      <c r="E50" t="s">
        <v>329</v>
      </c>
      <c r="F50" t="s">
        <v>14</v>
      </c>
      <c r="G50" s="2"/>
      <c r="H50" s="2"/>
      <c r="I50" s="2"/>
      <c r="J50" s="2"/>
      <c r="K50" s="2"/>
      <c r="L50" s="2"/>
      <c r="M50" s="2"/>
      <c r="N50" s="2"/>
    </row>
    <row r="51" spans="1:14" x14ac:dyDescent="0.3">
      <c r="A51" t="s">
        <v>134</v>
      </c>
      <c r="B51" t="s">
        <v>164</v>
      </c>
      <c r="C51" t="s">
        <v>258</v>
      </c>
      <c r="D51" t="s">
        <v>134</v>
      </c>
      <c r="E51" t="s">
        <v>330</v>
      </c>
      <c r="F51" t="s">
        <v>116</v>
      </c>
      <c r="G51" s="2"/>
      <c r="H51" s="2"/>
      <c r="I51" s="2"/>
      <c r="J51" s="2"/>
      <c r="K51" s="2"/>
      <c r="L51" s="2"/>
      <c r="M51" s="2"/>
      <c r="N51" s="2"/>
    </row>
    <row r="52" spans="1:14" x14ac:dyDescent="0.3">
      <c r="A52" t="s">
        <v>57</v>
      </c>
      <c r="B52" t="s">
        <v>165</v>
      </c>
      <c r="C52" t="s">
        <v>239</v>
      </c>
      <c r="D52" t="s">
        <v>49</v>
      </c>
      <c r="E52" t="s">
        <v>329</v>
      </c>
      <c r="F52" t="s">
        <v>14</v>
      </c>
      <c r="G52" s="2"/>
      <c r="H52" s="2"/>
      <c r="I52" s="2"/>
      <c r="J52" s="2"/>
      <c r="K52" s="2"/>
      <c r="L52" s="2"/>
      <c r="M52" s="2"/>
      <c r="N52" s="2"/>
    </row>
    <row r="53" spans="1:14" x14ac:dyDescent="0.3">
      <c r="A53" t="s">
        <v>118</v>
      </c>
      <c r="B53" t="s">
        <v>166</v>
      </c>
      <c r="C53" t="s">
        <v>259</v>
      </c>
      <c r="D53" t="s">
        <v>118</v>
      </c>
      <c r="E53" t="s">
        <v>330</v>
      </c>
      <c r="F53" t="s">
        <v>116</v>
      </c>
      <c r="G53" s="2"/>
      <c r="H53" s="2"/>
      <c r="I53" s="2"/>
      <c r="J53" s="2"/>
      <c r="K53" s="2"/>
      <c r="L53" s="2"/>
      <c r="M53" s="2"/>
      <c r="N53" s="2"/>
    </row>
    <row r="54" spans="1:14" x14ac:dyDescent="0.3">
      <c r="A54" t="s">
        <v>17</v>
      </c>
      <c r="B54" t="s">
        <v>167</v>
      </c>
      <c r="C54" t="s">
        <v>260</v>
      </c>
      <c r="D54" t="s">
        <v>17</v>
      </c>
      <c r="E54" t="s">
        <v>329</v>
      </c>
      <c r="F54" t="s">
        <v>14</v>
      </c>
      <c r="G54" s="2"/>
      <c r="H54" s="2"/>
      <c r="I54" s="2"/>
      <c r="J54" s="2"/>
      <c r="K54" s="2"/>
      <c r="L54" s="2"/>
      <c r="M54" s="2"/>
      <c r="N54" s="2"/>
    </row>
    <row r="55" spans="1:14" x14ac:dyDescent="0.3">
      <c r="A55" t="s">
        <v>22</v>
      </c>
      <c r="B55" t="s">
        <v>168</v>
      </c>
      <c r="C55" t="s">
        <v>261</v>
      </c>
      <c r="D55" t="s">
        <v>22</v>
      </c>
      <c r="E55" t="s">
        <v>329</v>
      </c>
      <c r="F55" t="s">
        <v>14</v>
      </c>
      <c r="G55" s="2"/>
      <c r="H55" s="2"/>
      <c r="I55" s="2"/>
      <c r="J55" s="2"/>
      <c r="K55" s="2"/>
      <c r="L55" s="2"/>
      <c r="M55" s="2"/>
      <c r="N55" s="2"/>
    </row>
    <row r="56" spans="1:14" x14ac:dyDescent="0.3">
      <c r="A56" t="s">
        <v>46</v>
      </c>
      <c r="B56" t="s">
        <v>169</v>
      </c>
      <c r="C56" t="s">
        <v>262</v>
      </c>
      <c r="D56" t="s">
        <v>46</v>
      </c>
      <c r="E56" t="s">
        <v>329</v>
      </c>
      <c r="F56" t="s">
        <v>14</v>
      </c>
      <c r="G56" s="2"/>
      <c r="H56" s="2"/>
      <c r="I56" s="2"/>
      <c r="J56" s="2"/>
      <c r="K56" s="2"/>
      <c r="L56" s="2"/>
      <c r="M56" s="2"/>
      <c r="N56" s="2"/>
    </row>
    <row r="57" spans="1:14" x14ac:dyDescent="0.3">
      <c r="A57" t="s">
        <v>86</v>
      </c>
      <c r="B57" t="s">
        <v>170</v>
      </c>
      <c r="C57" t="s">
        <v>263</v>
      </c>
      <c r="D57" t="s">
        <v>86</v>
      </c>
      <c r="E57" t="s">
        <v>329</v>
      </c>
      <c r="F57" t="s">
        <v>14</v>
      </c>
      <c r="G57" s="2"/>
      <c r="H57" s="2"/>
      <c r="I57" s="2"/>
      <c r="J57" s="2"/>
      <c r="K57" s="2"/>
      <c r="L57" s="2"/>
      <c r="M57" s="2"/>
      <c r="N57" s="2"/>
    </row>
    <row r="58" spans="1:14" x14ac:dyDescent="0.3">
      <c r="A58" t="s">
        <v>60</v>
      </c>
      <c r="B58" t="s">
        <v>171</v>
      </c>
      <c r="C58" t="s">
        <v>239</v>
      </c>
      <c r="D58" t="s">
        <v>49</v>
      </c>
      <c r="E58" t="s">
        <v>329</v>
      </c>
      <c r="F58" t="s">
        <v>14</v>
      </c>
      <c r="G58" s="2"/>
      <c r="H58" s="2"/>
      <c r="I58" s="2"/>
      <c r="J58" s="2"/>
      <c r="K58" s="2"/>
      <c r="L58" s="2"/>
      <c r="M58" s="2"/>
      <c r="N58" s="2"/>
    </row>
    <row r="59" spans="1:14" x14ac:dyDescent="0.3">
      <c r="A59" t="s">
        <v>34</v>
      </c>
      <c r="B59" t="s">
        <v>172</v>
      </c>
      <c r="C59" t="s">
        <v>264</v>
      </c>
      <c r="D59" t="s">
        <v>34</v>
      </c>
      <c r="E59" t="s">
        <v>329</v>
      </c>
      <c r="F59" t="s">
        <v>14</v>
      </c>
      <c r="G59" s="2"/>
      <c r="H59" s="2"/>
      <c r="I59" s="2"/>
      <c r="J59" s="2"/>
      <c r="K59" s="2"/>
      <c r="L59" s="2"/>
      <c r="M59" s="2"/>
      <c r="N59" s="2"/>
    </row>
    <row r="60" spans="1:14" x14ac:dyDescent="0.3">
      <c r="A60" t="s">
        <v>69</v>
      </c>
      <c r="B60" t="s">
        <v>173</v>
      </c>
      <c r="C60" t="s">
        <v>265</v>
      </c>
      <c r="D60" t="s">
        <v>69</v>
      </c>
      <c r="E60" t="s">
        <v>329</v>
      </c>
      <c r="F60" t="s">
        <v>14</v>
      </c>
      <c r="G60" s="2"/>
      <c r="H60" s="2"/>
      <c r="I60" s="2"/>
      <c r="J60" s="2"/>
      <c r="K60" s="2"/>
      <c r="L60" s="2"/>
      <c r="M60" s="2"/>
      <c r="N60" s="2"/>
    </row>
    <row r="61" spans="1:14" x14ac:dyDescent="0.3">
      <c r="A61" t="s">
        <v>68</v>
      </c>
      <c r="B61" t="s">
        <v>174</v>
      </c>
      <c r="C61" t="s">
        <v>266</v>
      </c>
      <c r="D61" t="s">
        <v>68</v>
      </c>
      <c r="E61" t="s">
        <v>329</v>
      </c>
      <c r="F61" t="s">
        <v>14</v>
      </c>
      <c r="G61" s="2"/>
      <c r="H61" s="2"/>
      <c r="I61" s="2"/>
      <c r="J61" s="2"/>
      <c r="K61" s="2"/>
      <c r="L61" s="2"/>
      <c r="M61" s="2"/>
      <c r="N61" s="2"/>
    </row>
    <row r="62" spans="1:14" x14ac:dyDescent="0.3">
      <c r="A62" t="s">
        <v>85</v>
      </c>
      <c r="B62" t="s">
        <v>175</v>
      </c>
      <c r="C62" t="s">
        <v>267</v>
      </c>
      <c r="D62" t="s">
        <v>85</v>
      </c>
      <c r="E62" t="s">
        <v>329</v>
      </c>
      <c r="F62" t="s">
        <v>14</v>
      </c>
      <c r="G62" s="2"/>
      <c r="H62" s="2"/>
      <c r="I62" s="2"/>
      <c r="J62" s="2"/>
      <c r="K62" s="2"/>
      <c r="L62" s="2"/>
      <c r="M62" s="2"/>
      <c r="N62" s="2"/>
    </row>
    <row r="63" spans="1:14" x14ac:dyDescent="0.3">
      <c r="A63" t="s">
        <v>55</v>
      </c>
      <c r="B63" t="s">
        <v>176</v>
      </c>
      <c r="C63" t="s">
        <v>239</v>
      </c>
      <c r="D63" t="s">
        <v>49</v>
      </c>
      <c r="E63" t="s">
        <v>329</v>
      </c>
      <c r="F63" t="s">
        <v>14</v>
      </c>
      <c r="G63" s="2"/>
      <c r="H63" s="2"/>
      <c r="I63" s="2"/>
      <c r="J63" s="2"/>
      <c r="K63" s="2"/>
      <c r="L63" s="2"/>
      <c r="M63" s="2"/>
      <c r="N63" s="2"/>
    </row>
    <row r="64" spans="1:14" x14ac:dyDescent="0.3">
      <c r="A64" t="s">
        <v>54</v>
      </c>
      <c r="B64" t="s">
        <v>177</v>
      </c>
      <c r="C64" t="s">
        <v>268</v>
      </c>
      <c r="D64" t="s">
        <v>54</v>
      </c>
      <c r="E64" t="s">
        <v>329</v>
      </c>
      <c r="F64" t="s">
        <v>14</v>
      </c>
      <c r="G64" s="2"/>
      <c r="H64" s="2"/>
      <c r="I64" s="2"/>
      <c r="J64" s="2"/>
      <c r="K64" s="2"/>
      <c r="L64" s="2"/>
      <c r="M64" s="2"/>
      <c r="N64" s="2"/>
    </row>
    <row r="65" spans="1:14" x14ac:dyDescent="0.3">
      <c r="A65" t="s">
        <v>78</v>
      </c>
      <c r="B65" t="s">
        <v>178</v>
      </c>
      <c r="C65" t="s">
        <v>269</v>
      </c>
      <c r="D65" t="s">
        <v>79</v>
      </c>
      <c r="E65" t="s">
        <v>329</v>
      </c>
      <c r="F65" t="s">
        <v>14</v>
      </c>
      <c r="G65" s="2"/>
      <c r="H65" s="2"/>
      <c r="I65" s="2"/>
      <c r="J65" s="2"/>
      <c r="K65" s="2"/>
      <c r="L65" s="2"/>
      <c r="M65" s="2"/>
      <c r="N65" s="2"/>
    </row>
    <row r="66" spans="1:14" x14ac:dyDescent="0.3">
      <c r="A66" t="s">
        <v>44</v>
      </c>
      <c r="B66" t="s">
        <v>179</v>
      </c>
      <c r="C66" t="s">
        <v>270</v>
      </c>
      <c r="D66" t="s">
        <v>44</v>
      </c>
      <c r="E66" t="s">
        <v>329</v>
      </c>
      <c r="F66" t="s">
        <v>14</v>
      </c>
      <c r="G66" s="2"/>
      <c r="H66" s="2"/>
      <c r="I66" s="2"/>
      <c r="J66" s="2"/>
      <c r="K66" s="2"/>
      <c r="L66" s="2"/>
      <c r="M66" s="2"/>
      <c r="N66" s="2"/>
    </row>
    <row r="67" spans="1:14" x14ac:dyDescent="0.3">
      <c r="A67" t="s">
        <v>71</v>
      </c>
      <c r="B67" t="s">
        <v>180</v>
      </c>
      <c r="C67" t="s">
        <v>271</v>
      </c>
      <c r="D67" t="s">
        <v>71</v>
      </c>
      <c r="E67" t="s">
        <v>329</v>
      </c>
      <c r="F67" t="s">
        <v>14</v>
      </c>
      <c r="G67" s="2"/>
      <c r="H67" s="2"/>
      <c r="I67" s="2"/>
      <c r="J67" s="2"/>
      <c r="K67" s="2"/>
      <c r="L67" s="2"/>
      <c r="M67" s="2"/>
      <c r="N67" s="2"/>
    </row>
    <row r="68" spans="1:14" x14ac:dyDescent="0.3">
      <c r="A68" t="s">
        <v>89</v>
      </c>
      <c r="B68" t="s">
        <v>181</v>
      </c>
      <c r="C68" t="s">
        <v>239</v>
      </c>
      <c r="D68" t="s">
        <v>49</v>
      </c>
      <c r="E68" t="s">
        <v>331</v>
      </c>
      <c r="F68" t="s">
        <v>88</v>
      </c>
      <c r="G68" s="2"/>
      <c r="H68" s="2"/>
      <c r="I68" s="2"/>
      <c r="J68" s="2"/>
      <c r="K68" s="2"/>
      <c r="L68" s="2"/>
      <c r="M68" s="2"/>
      <c r="N68" s="2"/>
    </row>
    <row r="69" spans="1:14" x14ac:dyDescent="0.3">
      <c r="A69" t="s">
        <v>29</v>
      </c>
      <c r="B69" t="s">
        <v>182</v>
      </c>
      <c r="C69" t="s">
        <v>272</v>
      </c>
      <c r="D69" t="s">
        <v>29</v>
      </c>
      <c r="E69" t="s">
        <v>329</v>
      </c>
      <c r="F69" t="s">
        <v>14</v>
      </c>
      <c r="G69" s="2"/>
      <c r="H69" s="2"/>
      <c r="I69" s="2"/>
      <c r="J69" s="2"/>
      <c r="K69" s="2"/>
      <c r="L69" s="2"/>
      <c r="M69" s="2"/>
      <c r="N69" s="2"/>
    </row>
    <row r="70" spans="1:14" x14ac:dyDescent="0.3">
      <c r="A70" t="s">
        <v>70</v>
      </c>
      <c r="B70" t="s">
        <v>183</v>
      </c>
      <c r="C70" t="s">
        <v>273</v>
      </c>
      <c r="D70" t="s">
        <v>70</v>
      </c>
      <c r="E70" t="s">
        <v>329</v>
      </c>
      <c r="F70" t="s">
        <v>14</v>
      </c>
      <c r="G70" s="2"/>
      <c r="H70" s="2"/>
      <c r="I70" s="2"/>
      <c r="J70" s="2"/>
      <c r="K70" s="2"/>
      <c r="L70" s="2"/>
      <c r="M70" s="2"/>
      <c r="N70" s="2"/>
    </row>
    <row r="71" spans="1:14" x14ac:dyDescent="0.3">
      <c r="A71" t="s">
        <v>24</v>
      </c>
      <c r="B71" t="s">
        <v>184</v>
      </c>
      <c r="C71" t="s">
        <v>274</v>
      </c>
      <c r="D71" t="s">
        <v>24</v>
      </c>
      <c r="E71" t="s">
        <v>329</v>
      </c>
      <c r="F71" t="s">
        <v>14</v>
      </c>
      <c r="G71" s="2"/>
      <c r="H71" s="2"/>
      <c r="I71" s="2"/>
      <c r="J71" s="2"/>
      <c r="K71" s="2"/>
      <c r="L71" s="2"/>
      <c r="M71" s="2"/>
      <c r="N71" s="2"/>
    </row>
    <row r="72" spans="1:14" x14ac:dyDescent="0.3">
      <c r="A72" t="s">
        <v>122</v>
      </c>
      <c r="B72" t="s">
        <v>185</v>
      </c>
      <c r="C72" t="s">
        <v>275</v>
      </c>
      <c r="D72" t="s">
        <v>122</v>
      </c>
      <c r="E72" t="s">
        <v>330</v>
      </c>
      <c r="F72" t="s">
        <v>116</v>
      </c>
      <c r="G72" s="2"/>
      <c r="H72" s="2"/>
      <c r="I72" s="2"/>
      <c r="J72" s="2"/>
      <c r="K72" s="2"/>
      <c r="L72" s="2"/>
      <c r="M72" s="2"/>
      <c r="N72" s="2"/>
    </row>
    <row r="73" spans="1:14" x14ac:dyDescent="0.3">
      <c r="A73" t="s">
        <v>114</v>
      </c>
      <c r="B73" t="s">
        <v>186</v>
      </c>
      <c r="C73" t="s">
        <v>276</v>
      </c>
      <c r="D73" t="s">
        <v>115</v>
      </c>
      <c r="E73" t="s">
        <v>330</v>
      </c>
      <c r="F73" t="s">
        <v>116</v>
      </c>
      <c r="G73" s="2"/>
      <c r="H73" s="2"/>
      <c r="I73" s="2"/>
      <c r="J73" s="2"/>
      <c r="K73" s="2"/>
      <c r="L73" s="2"/>
      <c r="M73" s="2"/>
      <c r="N73" s="2"/>
    </row>
    <row r="74" spans="1:14" x14ac:dyDescent="0.3">
      <c r="A74" t="s">
        <v>139</v>
      </c>
      <c r="B74" t="s">
        <v>187</v>
      </c>
      <c r="C74" t="s">
        <v>277</v>
      </c>
      <c r="D74" t="s">
        <v>139</v>
      </c>
      <c r="E74" t="s">
        <v>330</v>
      </c>
      <c r="F74" t="s">
        <v>116</v>
      </c>
      <c r="G74" s="2"/>
      <c r="H74" s="2"/>
      <c r="I74" s="2"/>
      <c r="J74" s="2"/>
      <c r="K74" s="2"/>
      <c r="L74" s="2"/>
      <c r="M74" s="2"/>
      <c r="N74" s="2"/>
    </row>
    <row r="75" spans="1:14" x14ac:dyDescent="0.3">
      <c r="A75" t="s">
        <v>36</v>
      </c>
      <c r="B75" t="s">
        <v>188</v>
      </c>
      <c r="C75" t="s">
        <v>278</v>
      </c>
      <c r="D75" t="s">
        <v>36</v>
      </c>
      <c r="E75" t="s">
        <v>329</v>
      </c>
      <c r="F75" t="s">
        <v>14</v>
      </c>
      <c r="G75" s="2"/>
      <c r="H75" s="2"/>
      <c r="I75" s="2"/>
      <c r="J75" s="2"/>
      <c r="K75" s="2"/>
      <c r="L75" s="2"/>
      <c r="M75" s="2"/>
      <c r="N75" s="2"/>
    </row>
    <row r="76" spans="1:14" x14ac:dyDescent="0.3">
      <c r="A76" t="s">
        <v>45</v>
      </c>
      <c r="B76" t="s">
        <v>189</v>
      </c>
      <c r="C76" t="s">
        <v>279</v>
      </c>
      <c r="D76" t="s">
        <v>45</v>
      </c>
      <c r="E76" t="s">
        <v>329</v>
      </c>
      <c r="F76" t="s">
        <v>14</v>
      </c>
      <c r="G76" s="2"/>
      <c r="H76" s="2"/>
      <c r="I76" s="2"/>
      <c r="J76" s="2"/>
      <c r="K76" s="2"/>
      <c r="L76" s="2"/>
      <c r="M76" s="2"/>
      <c r="N76" s="2"/>
    </row>
    <row r="77" spans="1:14" x14ac:dyDescent="0.3">
      <c r="A77" t="s">
        <v>90</v>
      </c>
      <c r="B77" t="s">
        <v>190</v>
      </c>
      <c r="C77" t="s">
        <v>280</v>
      </c>
      <c r="D77" t="s">
        <v>90</v>
      </c>
      <c r="E77" t="s">
        <v>331</v>
      </c>
      <c r="F77" t="s">
        <v>88</v>
      </c>
      <c r="G77" s="2"/>
      <c r="H77" s="2"/>
      <c r="I77" s="2"/>
      <c r="J77" s="2"/>
      <c r="K77" s="2"/>
      <c r="L77" s="2"/>
      <c r="M77" s="2"/>
      <c r="N77" s="2"/>
    </row>
    <row r="78" spans="1:14" x14ac:dyDescent="0.3">
      <c r="A78" t="s">
        <v>28</v>
      </c>
      <c r="B78" t="s">
        <v>191</v>
      </c>
      <c r="C78" t="s">
        <v>281</v>
      </c>
      <c r="D78" t="s">
        <v>28</v>
      </c>
      <c r="E78" t="s">
        <v>329</v>
      </c>
      <c r="F78" t="s">
        <v>14</v>
      </c>
      <c r="G78" s="2"/>
      <c r="H78" s="2"/>
      <c r="I78" s="2"/>
      <c r="J78" s="2"/>
      <c r="K78" s="2"/>
      <c r="L78" s="2"/>
      <c r="M78" s="2"/>
      <c r="N78" s="2"/>
    </row>
    <row r="79" spans="1:14" x14ac:dyDescent="0.3">
      <c r="A79" t="s">
        <v>37</v>
      </c>
      <c r="B79" t="s">
        <v>192</v>
      </c>
      <c r="C79" t="s">
        <v>282</v>
      </c>
      <c r="D79" t="s">
        <v>37</v>
      </c>
      <c r="E79" t="s">
        <v>329</v>
      </c>
      <c r="F79" t="s">
        <v>14</v>
      </c>
      <c r="G79" s="2"/>
      <c r="H79" s="2"/>
      <c r="I79" s="2"/>
      <c r="J79" s="2"/>
      <c r="K79" s="2"/>
      <c r="L79" s="2"/>
      <c r="M79" s="2"/>
      <c r="N79" s="2"/>
    </row>
    <row r="80" spans="1:14" x14ac:dyDescent="0.3">
      <c r="A80" t="s">
        <v>74</v>
      </c>
      <c r="B80" t="s">
        <v>193</v>
      </c>
      <c r="C80" t="s">
        <v>283</v>
      </c>
      <c r="D80" t="s">
        <v>74</v>
      </c>
      <c r="E80" t="s">
        <v>329</v>
      </c>
      <c r="F80" t="s">
        <v>14</v>
      </c>
      <c r="G80" s="2"/>
      <c r="H80" s="2"/>
      <c r="I80" s="2"/>
      <c r="J80" s="2"/>
      <c r="K80" s="2"/>
      <c r="L80" s="2"/>
      <c r="M80" s="2"/>
      <c r="N80" s="2"/>
    </row>
    <row r="81" spans="1:14" x14ac:dyDescent="0.3">
      <c r="A81" t="s">
        <v>135</v>
      </c>
      <c r="B81" t="s">
        <v>194</v>
      </c>
      <c r="C81" t="s">
        <v>284</v>
      </c>
      <c r="D81" t="s">
        <v>136</v>
      </c>
      <c r="E81" t="s">
        <v>330</v>
      </c>
      <c r="F81" t="s">
        <v>116</v>
      </c>
      <c r="G81" s="2"/>
      <c r="H81" s="2"/>
      <c r="I81" s="2"/>
      <c r="J81" s="2"/>
      <c r="K81" s="2"/>
      <c r="L81" s="2"/>
      <c r="M81" s="2"/>
      <c r="N81" s="2"/>
    </row>
    <row r="82" spans="1:14" x14ac:dyDescent="0.3">
      <c r="A82" t="s">
        <v>27</v>
      </c>
      <c r="B82" t="s">
        <v>195</v>
      </c>
      <c r="C82" t="s">
        <v>285</v>
      </c>
      <c r="D82" t="s">
        <v>27</v>
      </c>
      <c r="E82" t="s">
        <v>329</v>
      </c>
      <c r="F82" t="s">
        <v>14</v>
      </c>
      <c r="G82" s="2"/>
      <c r="H82" s="2"/>
      <c r="I82" s="2"/>
      <c r="J82" s="2"/>
      <c r="K82" s="2"/>
      <c r="L82" s="2"/>
      <c r="M82" s="2"/>
      <c r="N82" s="2"/>
    </row>
    <row r="83" spans="1:14" x14ac:dyDescent="0.3">
      <c r="A83" t="s">
        <v>25</v>
      </c>
      <c r="B83" t="s">
        <v>196</v>
      </c>
      <c r="C83" t="s">
        <v>286</v>
      </c>
      <c r="D83" t="s">
        <v>25</v>
      </c>
      <c r="E83" t="s">
        <v>329</v>
      </c>
      <c r="F83" t="s">
        <v>14</v>
      </c>
      <c r="G83" s="2"/>
      <c r="H83" s="2"/>
      <c r="I83" s="2"/>
      <c r="J83" s="2"/>
      <c r="K83" s="2"/>
      <c r="L83" s="2"/>
      <c r="M83" s="2"/>
      <c r="N83" s="2"/>
    </row>
    <row r="84" spans="1:14" x14ac:dyDescent="0.3">
      <c r="A84" t="s">
        <v>125</v>
      </c>
      <c r="B84" t="s">
        <v>197</v>
      </c>
      <c r="C84" t="s">
        <v>287</v>
      </c>
      <c r="D84" t="s">
        <v>125</v>
      </c>
      <c r="E84" t="s">
        <v>330</v>
      </c>
      <c r="F84" t="s">
        <v>116</v>
      </c>
      <c r="G84" s="2"/>
      <c r="H84" s="2"/>
      <c r="I84" s="2"/>
      <c r="J84" s="2"/>
      <c r="K84" s="2"/>
      <c r="L84" s="2"/>
      <c r="M84" s="2"/>
      <c r="N84" s="2"/>
    </row>
    <row r="85" spans="1:14" x14ac:dyDescent="0.3">
      <c r="A85" t="s">
        <v>98</v>
      </c>
      <c r="B85" t="s">
        <v>198</v>
      </c>
      <c r="C85" t="s">
        <v>288</v>
      </c>
      <c r="D85" t="s">
        <v>98</v>
      </c>
      <c r="E85" t="s">
        <v>328</v>
      </c>
      <c r="F85" t="s">
        <v>99</v>
      </c>
      <c r="G85" s="2"/>
      <c r="H85" s="2"/>
      <c r="I85" s="2"/>
      <c r="J85" s="2"/>
      <c r="K85" s="2"/>
      <c r="L85" s="2"/>
      <c r="M85" s="2"/>
      <c r="N85" s="2"/>
    </row>
    <row r="86" spans="1:14" x14ac:dyDescent="0.3">
      <c r="A86" t="s">
        <v>80</v>
      </c>
      <c r="B86" t="s">
        <v>199</v>
      </c>
      <c r="C86" t="s">
        <v>289</v>
      </c>
      <c r="D86" t="s">
        <v>80</v>
      </c>
      <c r="E86" t="s">
        <v>329</v>
      </c>
      <c r="F86" t="s">
        <v>14</v>
      </c>
      <c r="G86" s="2"/>
      <c r="H86" s="2"/>
      <c r="I86" s="2"/>
      <c r="J86" s="2"/>
      <c r="K86" s="2"/>
      <c r="L86" s="2"/>
      <c r="M86" s="2"/>
      <c r="N86" s="2"/>
    </row>
    <row r="87" spans="1:14" x14ac:dyDescent="0.3">
      <c r="A87" t="s">
        <v>75</v>
      </c>
      <c r="B87" t="s">
        <v>200</v>
      </c>
      <c r="C87" t="s">
        <v>290</v>
      </c>
      <c r="D87" t="s">
        <v>75</v>
      </c>
      <c r="E87" t="s">
        <v>329</v>
      </c>
      <c r="F87" t="s">
        <v>14</v>
      </c>
      <c r="G87" s="2"/>
      <c r="H87" s="2"/>
      <c r="I87" s="2"/>
      <c r="J87" s="2"/>
      <c r="K87" s="2"/>
      <c r="L87" s="2"/>
      <c r="M87" s="2"/>
      <c r="N87" s="2"/>
    </row>
    <row r="88" spans="1:14" x14ac:dyDescent="0.3">
      <c r="A88" t="s">
        <v>64</v>
      </c>
      <c r="B88" t="s">
        <v>201</v>
      </c>
      <c r="C88" t="s">
        <v>291</v>
      </c>
      <c r="D88" t="s">
        <v>64</v>
      </c>
      <c r="E88" t="s">
        <v>329</v>
      </c>
      <c r="F88" t="s">
        <v>14</v>
      </c>
      <c r="G88" s="2"/>
      <c r="H88" s="2"/>
      <c r="I88" s="2"/>
      <c r="J88" s="2"/>
      <c r="K88" s="2"/>
      <c r="L88" s="2"/>
      <c r="M88" s="2"/>
      <c r="N88" s="2"/>
    </row>
    <row r="89" spans="1:14" x14ac:dyDescent="0.3">
      <c r="A89" t="s">
        <v>72</v>
      </c>
      <c r="B89" t="s">
        <v>202</v>
      </c>
      <c r="C89" t="s">
        <v>292</v>
      </c>
      <c r="D89" t="s">
        <v>72</v>
      </c>
      <c r="E89" t="s">
        <v>329</v>
      </c>
      <c r="F89" t="s">
        <v>14</v>
      </c>
      <c r="G89" s="2"/>
      <c r="H89" s="2"/>
      <c r="I89" s="2"/>
      <c r="J89" s="2"/>
      <c r="K89" s="2"/>
      <c r="L89" s="2"/>
      <c r="M89" s="2"/>
      <c r="N89" s="2"/>
    </row>
    <row r="90" spans="1:14" x14ac:dyDescent="0.3">
      <c r="A90" t="s">
        <v>39</v>
      </c>
      <c r="B90" t="s">
        <v>203</v>
      </c>
      <c r="C90" t="s">
        <v>293</v>
      </c>
      <c r="D90" t="s">
        <v>39</v>
      </c>
      <c r="E90" t="s">
        <v>329</v>
      </c>
      <c r="F90" t="s">
        <v>14</v>
      </c>
      <c r="G90" s="2"/>
      <c r="H90" s="2"/>
      <c r="I90" s="2"/>
      <c r="J90" s="2"/>
      <c r="K90" s="2"/>
      <c r="L90" s="2"/>
      <c r="M90" s="2"/>
      <c r="N90" s="2"/>
    </row>
    <row r="91" spans="1:14" x14ac:dyDescent="0.3">
      <c r="A91" t="s">
        <v>16</v>
      </c>
      <c r="B91" t="s">
        <v>204</v>
      </c>
      <c r="C91" t="s">
        <v>294</v>
      </c>
      <c r="D91" t="s">
        <v>16</v>
      </c>
      <c r="E91" t="s">
        <v>329</v>
      </c>
      <c r="F91" t="s">
        <v>14</v>
      </c>
      <c r="G91" s="2"/>
      <c r="H91" s="2"/>
      <c r="I91" s="2"/>
      <c r="J91" s="2"/>
      <c r="K91" s="2"/>
      <c r="L91" s="2"/>
      <c r="M91" s="2"/>
      <c r="N91" s="2"/>
    </row>
    <row r="92" spans="1:14" x14ac:dyDescent="0.3">
      <c r="A92" t="s">
        <v>131</v>
      </c>
      <c r="B92" t="s">
        <v>205</v>
      </c>
      <c r="C92" t="s">
        <v>295</v>
      </c>
      <c r="D92" t="s">
        <v>132</v>
      </c>
      <c r="E92" t="s">
        <v>330</v>
      </c>
      <c r="F92" t="s">
        <v>116</v>
      </c>
      <c r="G92" s="2"/>
      <c r="H92" s="2"/>
      <c r="I92" s="2"/>
      <c r="J92" s="2"/>
      <c r="K92" s="2"/>
      <c r="L92" s="2"/>
      <c r="M92" s="2"/>
      <c r="N92" s="2"/>
    </row>
    <row r="93" spans="1:14" x14ac:dyDescent="0.3">
      <c r="A93" t="s">
        <v>38</v>
      </c>
      <c r="B93" t="s">
        <v>206</v>
      </c>
      <c r="C93" t="s">
        <v>296</v>
      </c>
      <c r="D93" t="s">
        <v>38</v>
      </c>
      <c r="E93" t="s">
        <v>329</v>
      </c>
      <c r="F93" t="s">
        <v>14</v>
      </c>
      <c r="G93" s="2"/>
      <c r="H93" s="2"/>
      <c r="I93" s="2"/>
      <c r="J93" s="2"/>
      <c r="K93" s="2"/>
      <c r="L93" s="2"/>
      <c r="M93" s="2"/>
      <c r="N93" s="2"/>
    </row>
    <row r="94" spans="1:14" x14ac:dyDescent="0.3">
      <c r="A94" t="s">
        <v>103</v>
      </c>
      <c r="B94" t="s">
        <v>207</v>
      </c>
      <c r="C94" t="s">
        <v>297</v>
      </c>
      <c r="D94" t="s">
        <v>103</v>
      </c>
      <c r="E94" t="s">
        <v>328</v>
      </c>
      <c r="F94" t="s">
        <v>99</v>
      </c>
      <c r="G94" s="2"/>
      <c r="H94" s="2"/>
      <c r="I94" s="2"/>
      <c r="J94" s="2"/>
      <c r="K94" s="2"/>
      <c r="L94" s="2"/>
      <c r="M94" s="2"/>
      <c r="N94" s="2"/>
    </row>
    <row r="95" spans="1:14" x14ac:dyDescent="0.3">
      <c r="A95" t="s">
        <v>128</v>
      </c>
      <c r="B95" t="s">
        <v>208</v>
      </c>
      <c r="C95" t="s">
        <v>298</v>
      </c>
      <c r="D95" t="s">
        <v>128</v>
      </c>
      <c r="E95" t="s">
        <v>330</v>
      </c>
      <c r="F95" t="s">
        <v>116</v>
      </c>
      <c r="G95" s="2"/>
      <c r="H95" s="2"/>
      <c r="I95" s="2"/>
      <c r="J95" s="2"/>
      <c r="K95" s="2"/>
      <c r="L95" s="2"/>
      <c r="M95" s="2"/>
      <c r="N95" s="2"/>
    </row>
    <row r="96" spans="1:14" x14ac:dyDescent="0.3">
      <c r="A96" t="s">
        <v>101</v>
      </c>
      <c r="B96" t="s">
        <v>209</v>
      </c>
      <c r="C96" t="s">
        <v>299</v>
      </c>
      <c r="D96" t="s">
        <v>101</v>
      </c>
      <c r="E96" t="s">
        <v>328</v>
      </c>
      <c r="F96" t="s">
        <v>99</v>
      </c>
      <c r="G96" s="2"/>
      <c r="H96" s="2"/>
      <c r="I96" s="2"/>
      <c r="J96" s="2"/>
      <c r="K96" s="2"/>
      <c r="L96" s="2"/>
      <c r="M96" s="2"/>
      <c r="N96" s="2"/>
    </row>
    <row r="97" spans="1:14" x14ac:dyDescent="0.3">
      <c r="A97" t="s">
        <v>117</v>
      </c>
      <c r="B97" t="s">
        <v>210</v>
      </c>
      <c r="C97" t="s">
        <v>300</v>
      </c>
      <c r="D97" t="s">
        <v>117</v>
      </c>
      <c r="E97" t="s">
        <v>330</v>
      </c>
      <c r="F97" t="s">
        <v>116</v>
      </c>
      <c r="G97" s="2"/>
      <c r="H97" s="2"/>
      <c r="I97" s="2"/>
      <c r="J97" s="2"/>
      <c r="K97" s="2"/>
      <c r="L97" s="2"/>
      <c r="M97" s="2"/>
      <c r="N97" s="2"/>
    </row>
    <row r="98" spans="1:14" x14ac:dyDescent="0.3">
      <c r="A98" t="s">
        <v>93</v>
      </c>
      <c r="B98" t="s">
        <v>211</v>
      </c>
      <c r="C98" t="s">
        <v>301</v>
      </c>
      <c r="D98" t="s">
        <v>94</v>
      </c>
      <c r="E98" t="s">
        <v>332</v>
      </c>
      <c r="F98" t="s">
        <v>92</v>
      </c>
      <c r="G98" s="2"/>
      <c r="H98" s="2"/>
      <c r="I98" s="2"/>
      <c r="J98" s="2"/>
      <c r="K98" s="2"/>
      <c r="L98" s="2"/>
      <c r="M98" s="2"/>
      <c r="N98" s="2"/>
    </row>
    <row r="99" spans="1:14" x14ac:dyDescent="0.3">
      <c r="A99" t="s">
        <v>96</v>
      </c>
      <c r="B99" t="s">
        <v>212</v>
      </c>
      <c r="C99" t="s">
        <v>302</v>
      </c>
      <c r="D99" t="s">
        <v>96</v>
      </c>
      <c r="E99" t="s">
        <v>332</v>
      </c>
      <c r="F99" t="s">
        <v>92</v>
      </c>
      <c r="G99" s="2"/>
      <c r="H99" s="2"/>
      <c r="I99" s="2"/>
      <c r="J99" s="2"/>
      <c r="K99" s="2"/>
      <c r="L99" s="2"/>
      <c r="M99" s="2"/>
      <c r="N99" s="2"/>
    </row>
    <row r="100" spans="1:14" x14ac:dyDescent="0.3">
      <c r="A100" t="s">
        <v>100</v>
      </c>
      <c r="B100" t="s">
        <v>213</v>
      </c>
      <c r="C100" t="s">
        <v>303</v>
      </c>
      <c r="D100" t="s">
        <v>100</v>
      </c>
      <c r="E100" t="s">
        <v>328</v>
      </c>
      <c r="F100" t="s">
        <v>99</v>
      </c>
      <c r="G100" s="2"/>
      <c r="H100" s="2"/>
      <c r="I100" s="2"/>
      <c r="J100" s="2"/>
      <c r="K100" s="2"/>
      <c r="L100" s="2"/>
      <c r="M100" s="2"/>
      <c r="N100" s="2"/>
    </row>
    <row r="101" spans="1:14" x14ac:dyDescent="0.3">
      <c r="A101" t="s">
        <v>123</v>
      </c>
      <c r="B101" t="s">
        <v>214</v>
      </c>
      <c r="C101" t="s">
        <v>304</v>
      </c>
      <c r="D101" t="s">
        <v>123</v>
      </c>
      <c r="E101" t="s">
        <v>330</v>
      </c>
      <c r="F101" t="s">
        <v>116</v>
      </c>
      <c r="G101" s="2"/>
      <c r="H101" s="2"/>
      <c r="I101" s="2"/>
      <c r="J101" s="2"/>
      <c r="K101" s="2"/>
      <c r="L101" s="2"/>
      <c r="M101" s="2"/>
      <c r="N101" s="2"/>
    </row>
    <row r="102" spans="1:14" x14ac:dyDescent="0.3">
      <c r="A102" t="s">
        <v>91</v>
      </c>
      <c r="B102" t="s">
        <v>215</v>
      </c>
      <c r="C102" t="s">
        <v>305</v>
      </c>
      <c r="D102" t="s">
        <v>91</v>
      </c>
      <c r="E102" t="s">
        <v>332</v>
      </c>
      <c r="F102" t="s">
        <v>92</v>
      </c>
      <c r="G102" s="2"/>
      <c r="H102" s="2"/>
      <c r="I102" s="2"/>
      <c r="J102" s="2"/>
      <c r="K102" s="2"/>
      <c r="L102" s="2"/>
      <c r="M102" s="2"/>
      <c r="N102" s="2"/>
    </row>
    <row r="103" spans="1:14" x14ac:dyDescent="0.3">
      <c r="A103" t="s">
        <v>92</v>
      </c>
      <c r="B103" t="s">
        <v>216</v>
      </c>
      <c r="C103" t="s">
        <v>306</v>
      </c>
      <c r="D103" t="s">
        <v>92</v>
      </c>
      <c r="E103" t="s">
        <v>332</v>
      </c>
      <c r="F103" t="s">
        <v>92</v>
      </c>
      <c r="G103" s="2"/>
      <c r="H103" s="2"/>
      <c r="I103" s="2"/>
      <c r="J103" s="2"/>
      <c r="K103" s="2"/>
      <c r="L103" s="2"/>
      <c r="M103" s="2"/>
      <c r="N103" s="2"/>
    </row>
    <row r="104" spans="1:14" x14ac:dyDescent="0.3">
      <c r="B104" t="s">
        <v>217</v>
      </c>
      <c r="C104" t="s">
        <v>239</v>
      </c>
      <c r="D104" t="s">
        <v>49</v>
      </c>
      <c r="E104" t="s">
        <v>332</v>
      </c>
      <c r="F104" t="s">
        <v>92</v>
      </c>
      <c r="G104" s="2"/>
      <c r="H104" s="2"/>
      <c r="I104" s="2"/>
      <c r="J104" s="2"/>
      <c r="K104" s="2"/>
      <c r="L104" s="2"/>
      <c r="M104" s="2"/>
      <c r="N104" s="2"/>
    </row>
    <row r="105" spans="1:14" x14ac:dyDescent="0.3">
      <c r="A105" t="s">
        <v>95</v>
      </c>
      <c r="B105" t="s">
        <v>218</v>
      </c>
      <c r="C105" t="s">
        <v>307</v>
      </c>
      <c r="D105" t="s">
        <v>92</v>
      </c>
      <c r="E105" t="s">
        <v>332</v>
      </c>
      <c r="F105" t="s">
        <v>92</v>
      </c>
      <c r="G105" s="2"/>
      <c r="H105" s="2"/>
      <c r="I105" s="2"/>
      <c r="J105" s="2"/>
      <c r="K105" s="2"/>
      <c r="L105" s="2"/>
      <c r="M105" s="2"/>
      <c r="N105" s="2"/>
    </row>
    <row r="106" spans="1:14" x14ac:dyDescent="0.3">
      <c r="A106" t="s">
        <v>87</v>
      </c>
      <c r="B106" t="s">
        <v>219</v>
      </c>
      <c r="C106" t="s">
        <v>308</v>
      </c>
      <c r="D106" t="s">
        <v>87</v>
      </c>
      <c r="E106" t="s">
        <v>331</v>
      </c>
      <c r="F106" t="s">
        <v>88</v>
      </c>
      <c r="G106" s="2"/>
      <c r="H106" s="2"/>
      <c r="I106" s="2"/>
      <c r="J106" s="2"/>
      <c r="K106" s="2"/>
      <c r="L106" s="2"/>
      <c r="M106" s="2"/>
      <c r="N106" s="2"/>
    </row>
    <row r="107" spans="1:14" x14ac:dyDescent="0.3">
      <c r="A107" t="s">
        <v>18</v>
      </c>
      <c r="B107" t="s">
        <v>220</v>
      </c>
      <c r="C107" t="s">
        <v>309</v>
      </c>
      <c r="D107" t="s">
        <v>18</v>
      </c>
      <c r="E107" t="s">
        <v>329</v>
      </c>
      <c r="F107" t="s">
        <v>14</v>
      </c>
      <c r="G107" s="2"/>
      <c r="H107" s="2"/>
      <c r="I107" s="2"/>
      <c r="J107" s="2"/>
      <c r="K107" s="2"/>
      <c r="L107" s="2"/>
      <c r="M107" s="2"/>
      <c r="N107" s="2"/>
    </row>
    <row r="108" spans="1:14" x14ac:dyDescent="0.3">
      <c r="A108" t="s">
        <v>31</v>
      </c>
      <c r="B108" t="s">
        <v>221</v>
      </c>
      <c r="C108" t="s">
        <v>310</v>
      </c>
      <c r="D108" t="s">
        <v>31</v>
      </c>
      <c r="E108" t="s">
        <v>329</v>
      </c>
      <c r="F108" t="s">
        <v>14</v>
      </c>
      <c r="G108" s="2"/>
      <c r="H108" s="2"/>
      <c r="I108" s="2"/>
      <c r="J108" s="2"/>
      <c r="K108" s="2"/>
      <c r="L108" s="2"/>
      <c r="M108" s="2"/>
      <c r="N108" s="2"/>
    </row>
    <row r="109" spans="1:14" x14ac:dyDescent="0.3">
      <c r="A109" t="s">
        <v>30</v>
      </c>
      <c r="B109" t="s">
        <v>222</v>
      </c>
      <c r="C109" t="s">
        <v>311</v>
      </c>
      <c r="D109" t="s">
        <v>30</v>
      </c>
      <c r="E109" t="s">
        <v>329</v>
      </c>
      <c r="F109" t="s">
        <v>14</v>
      </c>
      <c r="G109" s="2"/>
      <c r="H109" s="2"/>
      <c r="I109" s="2"/>
      <c r="J109" s="2"/>
      <c r="K109" s="2"/>
      <c r="L109" s="2"/>
      <c r="M109" s="2"/>
      <c r="N109" s="2"/>
    </row>
    <row r="110" spans="1:14" x14ac:dyDescent="0.3">
      <c r="A110" t="s">
        <v>41</v>
      </c>
      <c r="B110" t="s">
        <v>223</v>
      </c>
      <c r="C110" t="s">
        <v>312</v>
      </c>
      <c r="D110" t="s">
        <v>41</v>
      </c>
      <c r="E110" t="s">
        <v>329</v>
      </c>
      <c r="F110" t="s">
        <v>14</v>
      </c>
      <c r="G110" s="2"/>
      <c r="H110" s="2"/>
      <c r="I110" s="2"/>
      <c r="J110" s="2"/>
      <c r="K110" s="2"/>
      <c r="L110" s="2"/>
      <c r="M110" s="2"/>
      <c r="N110" s="2"/>
    </row>
    <row r="111" spans="1:14" x14ac:dyDescent="0.3">
      <c r="A111" t="s">
        <v>40</v>
      </c>
      <c r="B111" t="s">
        <v>224</v>
      </c>
      <c r="C111" t="s">
        <v>313</v>
      </c>
      <c r="D111" t="s">
        <v>40</v>
      </c>
      <c r="E111" t="s">
        <v>329</v>
      </c>
      <c r="F111" t="s">
        <v>14</v>
      </c>
      <c r="G111" s="2"/>
      <c r="H111" s="2"/>
      <c r="I111" s="2"/>
      <c r="J111" s="2"/>
      <c r="K111" s="2"/>
      <c r="L111" s="2"/>
      <c r="M111" s="2"/>
      <c r="N111" s="2"/>
    </row>
    <row r="112" spans="1:14" x14ac:dyDescent="0.3">
      <c r="A112" t="s">
        <v>50</v>
      </c>
      <c r="B112" t="s">
        <v>225</v>
      </c>
      <c r="C112" t="s">
        <v>314</v>
      </c>
      <c r="D112" t="s">
        <v>51</v>
      </c>
      <c r="E112" t="s">
        <v>329</v>
      </c>
      <c r="F112" t="s">
        <v>14</v>
      </c>
      <c r="G112" s="2"/>
      <c r="H112" s="2"/>
      <c r="I112" s="2"/>
      <c r="J112" s="2"/>
      <c r="K112" s="2"/>
      <c r="L112" s="2"/>
      <c r="M112" s="2"/>
      <c r="N112" s="2"/>
    </row>
    <row r="113" spans="1:14" x14ac:dyDescent="0.3">
      <c r="A113" t="s">
        <v>110</v>
      </c>
      <c r="B113" t="s">
        <v>226</v>
      </c>
      <c r="C113" t="s">
        <v>315</v>
      </c>
      <c r="D113" t="s">
        <v>110</v>
      </c>
      <c r="E113" t="s">
        <v>328</v>
      </c>
      <c r="F113" t="s">
        <v>99</v>
      </c>
      <c r="G113" s="2"/>
      <c r="H113" s="2"/>
      <c r="I113" s="2"/>
      <c r="J113" s="2"/>
      <c r="K113" s="2"/>
      <c r="L113" s="2"/>
      <c r="M113" s="2"/>
      <c r="N113" s="2"/>
    </row>
    <row r="114" spans="1:14" x14ac:dyDescent="0.3">
      <c r="A114" t="s">
        <v>42</v>
      </c>
      <c r="B114" t="s">
        <v>227</v>
      </c>
      <c r="C114" t="s">
        <v>316</v>
      </c>
      <c r="D114" t="s">
        <v>42</v>
      </c>
      <c r="E114" t="s">
        <v>329</v>
      </c>
      <c r="F114" t="s">
        <v>14</v>
      </c>
      <c r="G114" s="2"/>
      <c r="H114" s="2"/>
      <c r="I114" s="2"/>
      <c r="J114" s="2"/>
      <c r="K114" s="2"/>
      <c r="L114" s="2"/>
      <c r="M114" s="2"/>
      <c r="N114" s="2"/>
    </row>
    <row r="115" spans="1:14" x14ac:dyDescent="0.3">
      <c r="A115" t="s">
        <v>52</v>
      </c>
      <c r="B115" t="s">
        <v>228</v>
      </c>
      <c r="C115" t="s">
        <v>317</v>
      </c>
      <c r="D115" t="s">
        <v>52</v>
      </c>
      <c r="E115" t="s">
        <v>329</v>
      </c>
      <c r="F115" t="s">
        <v>14</v>
      </c>
      <c r="G115" s="2"/>
      <c r="H115" s="2"/>
      <c r="I115" s="2"/>
      <c r="J115" s="2"/>
      <c r="K115" s="2"/>
      <c r="L115" s="2"/>
      <c r="M115" s="2"/>
      <c r="N115" s="2"/>
    </row>
    <row r="116" spans="1:14" x14ac:dyDescent="0.3">
      <c r="A116" t="s">
        <v>77</v>
      </c>
      <c r="B116" t="s">
        <v>229</v>
      </c>
      <c r="C116" t="s">
        <v>318</v>
      </c>
      <c r="D116" t="s">
        <v>77</v>
      </c>
      <c r="E116" t="s">
        <v>329</v>
      </c>
      <c r="F116" t="s">
        <v>14</v>
      </c>
      <c r="G116" s="2"/>
      <c r="H116" s="2"/>
      <c r="I116" s="2"/>
      <c r="J116" s="2"/>
      <c r="K116" s="2"/>
      <c r="L116" s="2"/>
      <c r="M116" s="2"/>
      <c r="N116" s="2"/>
    </row>
    <row r="117" spans="1:14" x14ac:dyDescent="0.3">
      <c r="A117" t="s">
        <v>20</v>
      </c>
      <c r="B117" t="s">
        <v>230</v>
      </c>
      <c r="C117" t="s">
        <v>319</v>
      </c>
      <c r="D117" t="s">
        <v>20</v>
      </c>
      <c r="E117" t="s">
        <v>329</v>
      </c>
      <c r="F117" t="s">
        <v>14</v>
      </c>
      <c r="G117" s="2"/>
      <c r="H117" s="2"/>
      <c r="I117" s="2"/>
      <c r="J117" s="2"/>
      <c r="K117" s="2"/>
      <c r="L117" s="2"/>
      <c r="M117" s="2"/>
      <c r="N117" s="2"/>
    </row>
    <row r="118" spans="1:14" x14ac:dyDescent="0.3">
      <c r="A118" t="s">
        <v>62</v>
      </c>
      <c r="B118" t="s">
        <v>231</v>
      </c>
      <c r="C118" t="s">
        <v>320</v>
      </c>
      <c r="D118" t="s">
        <v>62</v>
      </c>
      <c r="E118" t="s">
        <v>329</v>
      </c>
      <c r="F118" t="s">
        <v>14</v>
      </c>
      <c r="G118" s="2"/>
      <c r="H118" s="2"/>
      <c r="I118" s="2"/>
      <c r="J118" s="2"/>
      <c r="K118" s="2"/>
      <c r="L118" s="2"/>
      <c r="M118" s="2"/>
      <c r="N118" s="2"/>
    </row>
    <row r="119" spans="1:14" x14ac:dyDescent="0.3">
      <c r="A119" t="s">
        <v>107</v>
      </c>
      <c r="B119" t="s">
        <v>232</v>
      </c>
      <c r="C119" t="s">
        <v>321</v>
      </c>
      <c r="D119" t="s">
        <v>108</v>
      </c>
      <c r="E119" t="s">
        <v>328</v>
      </c>
      <c r="F119" t="s">
        <v>99</v>
      </c>
      <c r="G119" s="2"/>
      <c r="H119" s="2"/>
      <c r="I119" s="2"/>
      <c r="J119" s="2"/>
      <c r="K119" s="2"/>
      <c r="L119" s="2"/>
      <c r="M119" s="2"/>
      <c r="N119" s="2"/>
    </row>
    <row r="120" spans="1:14" x14ac:dyDescent="0.3">
      <c r="A120" t="s">
        <v>73</v>
      </c>
      <c r="B120" t="s">
        <v>233</v>
      </c>
      <c r="C120" t="s">
        <v>322</v>
      </c>
      <c r="D120" t="s">
        <v>73</v>
      </c>
      <c r="E120" t="s">
        <v>329</v>
      </c>
      <c r="F120" t="s">
        <v>14</v>
      </c>
      <c r="G120" s="2"/>
      <c r="H120" s="2"/>
      <c r="I120" s="2"/>
      <c r="J120" s="2"/>
      <c r="K120" s="2"/>
      <c r="L120" s="2"/>
      <c r="M120" s="2"/>
      <c r="N120" s="2"/>
    </row>
    <row r="121" spans="1:14" x14ac:dyDescent="0.3">
      <c r="A121" t="s">
        <v>120</v>
      </c>
      <c r="B121" t="s">
        <v>234</v>
      </c>
      <c r="C121" t="s">
        <v>323</v>
      </c>
      <c r="D121" t="s">
        <v>120</v>
      </c>
      <c r="E121" t="s">
        <v>330</v>
      </c>
      <c r="F121" t="s">
        <v>116</v>
      </c>
      <c r="G121" s="2"/>
      <c r="H121" s="2"/>
      <c r="I121" s="2"/>
      <c r="J121" s="2"/>
      <c r="K121" s="2"/>
      <c r="L121" s="2"/>
      <c r="M121" s="2"/>
      <c r="N121" s="2"/>
    </row>
    <row r="122" spans="1:14" x14ac:dyDescent="0.3">
      <c r="A122" t="s">
        <v>13</v>
      </c>
      <c r="B122" t="s">
        <v>235</v>
      </c>
      <c r="C122" t="s">
        <v>324</v>
      </c>
      <c r="D122" t="s">
        <v>13</v>
      </c>
      <c r="E122" t="s">
        <v>329</v>
      </c>
      <c r="F122" t="s">
        <v>14</v>
      </c>
      <c r="G122" s="2"/>
      <c r="H122" s="2"/>
      <c r="I122" s="2"/>
      <c r="J122" s="2"/>
      <c r="K122" s="2"/>
      <c r="L122" s="2"/>
      <c r="M122" s="2"/>
      <c r="N122" s="2"/>
    </row>
    <row r="123" spans="1:14" x14ac:dyDescent="0.3">
      <c r="A123" t="s">
        <v>65</v>
      </c>
      <c r="B123" t="s">
        <v>236</v>
      </c>
      <c r="C123" t="s">
        <v>325</v>
      </c>
      <c r="D123" t="s">
        <v>65</v>
      </c>
      <c r="E123" t="s">
        <v>329</v>
      </c>
      <c r="F123" t="s">
        <v>14</v>
      </c>
      <c r="G123" s="2"/>
      <c r="H123" s="2"/>
      <c r="I123" s="2"/>
      <c r="J123" s="2"/>
      <c r="K123" s="2"/>
      <c r="L123" s="2"/>
      <c r="M123" s="2"/>
      <c r="N123" s="2"/>
    </row>
    <row r="124" spans="1:14" x14ac:dyDescent="0.3">
      <c r="A124" t="s">
        <v>66</v>
      </c>
      <c r="B124" t="s">
        <v>237</v>
      </c>
      <c r="C124" t="s">
        <v>326</v>
      </c>
      <c r="D124" t="s">
        <v>66</v>
      </c>
      <c r="E124" t="s">
        <v>329</v>
      </c>
      <c r="F124" t="s">
        <v>14</v>
      </c>
      <c r="G124" s="2"/>
      <c r="H124" s="2"/>
      <c r="I124" s="2"/>
      <c r="J124" s="2"/>
      <c r="K124" s="2"/>
      <c r="L124" s="2"/>
      <c r="M124" s="2"/>
      <c r="N124" s="2"/>
    </row>
    <row r="125" spans="1:14" x14ac:dyDescent="0.3">
      <c r="A125" t="s">
        <v>32</v>
      </c>
      <c r="B125" t="s">
        <v>238</v>
      </c>
      <c r="C125" t="s">
        <v>327</v>
      </c>
      <c r="D125" t="s">
        <v>32</v>
      </c>
      <c r="E125" t="s">
        <v>329</v>
      </c>
      <c r="F125" t="s">
        <v>14</v>
      </c>
      <c r="G125" s="2"/>
      <c r="H125" s="2"/>
      <c r="I125" s="2"/>
      <c r="J125" s="2"/>
      <c r="K125" s="2"/>
      <c r="L125" s="2"/>
      <c r="M125" s="2"/>
      <c r="N125" s="2"/>
    </row>
    <row r="126" spans="1:14" x14ac:dyDescent="0.3">
      <c r="A126" s="2"/>
      <c r="B126" s="2"/>
      <c r="C126" s="2"/>
      <c r="D126" s="2"/>
      <c r="E126" s="2"/>
      <c r="F126" s="2"/>
      <c r="G126" s="2"/>
      <c r="H126" s="2"/>
      <c r="I126" s="2"/>
      <c r="J126" s="2"/>
      <c r="K126" s="2"/>
      <c r="L126" s="2"/>
      <c r="M126" s="2"/>
      <c r="N126" s="2"/>
    </row>
    <row r="127" spans="1:14" x14ac:dyDescent="0.3">
      <c r="A127" s="2"/>
      <c r="B127" s="2"/>
      <c r="C127" s="2"/>
      <c r="D127" s="2"/>
      <c r="E127" s="2"/>
      <c r="F127" s="2"/>
      <c r="G127" s="2"/>
      <c r="H127" s="2"/>
      <c r="I127" s="2"/>
      <c r="J127" s="2"/>
      <c r="K127" s="2"/>
      <c r="L127" s="2"/>
      <c r="M127" s="2"/>
      <c r="N127" s="2"/>
    </row>
    <row r="128" spans="1:14" x14ac:dyDescent="0.3">
      <c r="A128" s="2"/>
      <c r="B128" s="2"/>
      <c r="C128" s="2"/>
      <c r="D128" s="2"/>
      <c r="E128" s="2"/>
      <c r="F128" s="2"/>
      <c r="G128" s="2"/>
      <c r="H128" s="2"/>
      <c r="I128" s="2"/>
      <c r="J128" s="2"/>
      <c r="K128" s="2"/>
      <c r="L128" s="2"/>
      <c r="M128" s="2"/>
      <c r="N128" s="2"/>
    </row>
    <row r="129" spans="1:14" x14ac:dyDescent="0.3">
      <c r="A129" s="2"/>
      <c r="B129" s="2"/>
      <c r="C129" s="2"/>
      <c r="D129" s="2"/>
      <c r="E129" s="2"/>
      <c r="F129" s="2"/>
      <c r="G129" s="2"/>
      <c r="H129" s="2"/>
      <c r="I129" s="2"/>
      <c r="J129" s="2"/>
      <c r="K129" s="2"/>
      <c r="L129" s="2"/>
      <c r="M129" s="2"/>
      <c r="N129" s="2"/>
    </row>
    <row r="130" spans="1:14" x14ac:dyDescent="0.3">
      <c r="A130" s="2"/>
      <c r="B130" s="2"/>
      <c r="C130" s="2"/>
      <c r="D130" s="2"/>
      <c r="E130" s="2"/>
      <c r="F130" s="2"/>
      <c r="G130" s="2"/>
      <c r="H130" s="2"/>
      <c r="I130" s="2"/>
      <c r="J130" s="2"/>
      <c r="K130" s="2"/>
      <c r="L130" s="2"/>
      <c r="M130" s="2"/>
      <c r="N130" s="2"/>
    </row>
    <row r="131" spans="1:14" x14ac:dyDescent="0.3">
      <c r="A131" s="2"/>
      <c r="B131" s="2"/>
      <c r="C131" s="2"/>
      <c r="D131" s="2"/>
      <c r="E131" s="2"/>
      <c r="F131" s="2"/>
      <c r="G131" s="2"/>
      <c r="H131" s="2"/>
      <c r="I131" s="2"/>
      <c r="J131" s="2"/>
      <c r="K131" s="2"/>
      <c r="L131" s="2"/>
      <c r="M131" s="2"/>
      <c r="N131" s="2"/>
    </row>
    <row r="132" spans="1:14" x14ac:dyDescent="0.3">
      <c r="A132" s="2"/>
      <c r="B132" s="2"/>
      <c r="C132" s="2"/>
      <c r="D132" s="2"/>
      <c r="E132" s="2"/>
      <c r="F132" s="2"/>
      <c r="G132" s="2"/>
      <c r="H132" s="2"/>
      <c r="I132" s="2"/>
      <c r="J132" s="2"/>
      <c r="K132" s="2"/>
      <c r="L132" s="2"/>
      <c r="M132" s="2"/>
      <c r="N132" s="2"/>
    </row>
    <row r="133" spans="1:14" x14ac:dyDescent="0.3">
      <c r="A133" s="2"/>
      <c r="B133" s="2"/>
      <c r="C133" s="2"/>
      <c r="D133" s="2"/>
      <c r="E133" s="2"/>
      <c r="F133" s="2"/>
      <c r="G133" s="2"/>
      <c r="H133" s="2"/>
      <c r="I133" s="2"/>
      <c r="J133" s="2"/>
      <c r="K133" s="2"/>
      <c r="L133" s="2"/>
      <c r="M133" s="2"/>
      <c r="N133" s="2"/>
    </row>
    <row r="134" spans="1:14" x14ac:dyDescent="0.3">
      <c r="A134" s="2"/>
      <c r="B134" s="2"/>
      <c r="C134" s="2"/>
      <c r="D134" s="2"/>
      <c r="E134" s="2"/>
      <c r="F134" s="2"/>
      <c r="G134" s="2"/>
      <c r="H134" s="2"/>
      <c r="I134" s="2"/>
      <c r="J134" s="2"/>
      <c r="K134" s="2"/>
      <c r="L134" s="2"/>
      <c r="M134" s="2"/>
      <c r="N134" s="2"/>
    </row>
    <row r="135" spans="1:14" x14ac:dyDescent="0.3">
      <c r="A135" s="2"/>
      <c r="B135" s="2"/>
      <c r="C135" s="2"/>
      <c r="D135" s="2"/>
      <c r="E135" s="2"/>
      <c r="F135" s="2"/>
      <c r="G135" s="2"/>
      <c r="H135" s="2"/>
      <c r="I135" s="2"/>
      <c r="J135" s="2"/>
      <c r="K135" s="2"/>
      <c r="L135" s="2"/>
      <c r="M135" s="2"/>
      <c r="N135" s="2"/>
    </row>
    <row r="136" spans="1:14" x14ac:dyDescent="0.3">
      <c r="A136" s="2"/>
      <c r="B136" s="2"/>
      <c r="C136" s="2"/>
      <c r="D136" s="2"/>
      <c r="E136" s="2"/>
      <c r="F136" s="2"/>
      <c r="G136" s="2"/>
      <c r="H136" s="2"/>
      <c r="I136" s="2"/>
      <c r="J136" s="2"/>
      <c r="K136" s="2"/>
      <c r="L136" s="2"/>
      <c r="M136" s="2"/>
      <c r="N136" s="2"/>
    </row>
    <row r="137" spans="1:14" x14ac:dyDescent="0.3">
      <c r="A137" s="2"/>
      <c r="B137" s="2"/>
      <c r="C137" s="2"/>
      <c r="D137" s="2"/>
      <c r="E137" s="2"/>
      <c r="F137" s="2"/>
      <c r="G137" s="2"/>
      <c r="H137" s="2"/>
      <c r="I137" s="2"/>
      <c r="J137" s="2"/>
      <c r="K137" s="2"/>
      <c r="L137" s="2"/>
      <c r="M137" s="2"/>
      <c r="N137" s="2"/>
    </row>
    <row r="138" spans="1:14" x14ac:dyDescent="0.3">
      <c r="A138" s="2"/>
      <c r="B138" s="2"/>
      <c r="C138" s="2"/>
      <c r="D138" s="2"/>
      <c r="E138" s="2"/>
      <c r="F138" s="2"/>
      <c r="G138" s="2"/>
      <c r="H138" s="2"/>
      <c r="I138" s="2"/>
      <c r="J138" s="2"/>
      <c r="K138" s="2"/>
      <c r="L138" s="2"/>
      <c r="M138" s="2"/>
      <c r="N138" s="2"/>
    </row>
    <row r="139" spans="1:14" x14ac:dyDescent="0.3">
      <c r="A139" s="2"/>
      <c r="B139" s="2"/>
      <c r="C139" s="2"/>
      <c r="D139" s="2"/>
      <c r="E139" s="2"/>
      <c r="F139" s="2"/>
      <c r="G139" s="2"/>
      <c r="H139" s="2"/>
      <c r="I139" s="2"/>
      <c r="J139" s="2"/>
      <c r="K139" s="2"/>
      <c r="L139" s="2"/>
      <c r="M139" s="2"/>
      <c r="N139" s="2"/>
    </row>
    <row r="140" spans="1:14" x14ac:dyDescent="0.3">
      <c r="A140" s="2"/>
      <c r="B140" s="2"/>
      <c r="C140" s="2"/>
      <c r="D140" s="2"/>
      <c r="E140" s="2"/>
      <c r="F140" s="2"/>
      <c r="G140" s="2"/>
      <c r="H140" s="2"/>
      <c r="I140" s="2"/>
      <c r="J140" s="2"/>
      <c r="K140" s="2"/>
      <c r="L140" s="2"/>
      <c r="M140" s="2"/>
      <c r="N140" s="2"/>
    </row>
    <row r="141" spans="1:14" x14ac:dyDescent="0.3">
      <c r="A141" s="2"/>
      <c r="B141" s="2"/>
      <c r="C141" s="2"/>
      <c r="D141" s="2"/>
      <c r="E141" s="2"/>
      <c r="F141" s="2"/>
      <c r="G141" s="2"/>
      <c r="H141" s="2"/>
      <c r="I141" s="2"/>
      <c r="J141" s="2"/>
      <c r="K141" s="2"/>
      <c r="L141" s="2"/>
      <c r="M141" s="2"/>
      <c r="N141" s="2"/>
    </row>
    <row r="142" spans="1:14" x14ac:dyDescent="0.3">
      <c r="A142" s="2"/>
      <c r="B142" s="2"/>
      <c r="C142" s="2"/>
      <c r="D142" s="2"/>
      <c r="E142" s="2"/>
      <c r="F142" s="2"/>
      <c r="G142" s="2"/>
      <c r="H142" s="2"/>
      <c r="I142" s="2"/>
      <c r="J142" s="2"/>
      <c r="K142" s="2"/>
      <c r="L142" s="2"/>
      <c r="M142" s="2"/>
      <c r="N142" s="2"/>
    </row>
    <row r="143" spans="1:14" x14ac:dyDescent="0.3">
      <c r="A143" s="2"/>
      <c r="B143" s="2"/>
      <c r="C143" s="2"/>
      <c r="D143" s="2"/>
      <c r="E143" s="2"/>
      <c r="F143" s="2"/>
      <c r="G143" s="2"/>
      <c r="H143" s="2"/>
      <c r="I143" s="2"/>
      <c r="J143" s="2"/>
      <c r="K143" s="2"/>
      <c r="L143" s="2"/>
      <c r="M143" s="2"/>
      <c r="N143" s="2"/>
    </row>
    <row r="144" spans="1:14" x14ac:dyDescent="0.3">
      <c r="A144" s="2"/>
      <c r="B144" s="2"/>
      <c r="C144" s="2"/>
      <c r="D144" s="2"/>
      <c r="E144" s="2"/>
      <c r="F144" s="2"/>
      <c r="G144" s="2"/>
      <c r="H144" s="2"/>
      <c r="I144" s="2"/>
      <c r="J144" s="2"/>
      <c r="K144" s="2"/>
      <c r="L144" s="2"/>
      <c r="M144" s="2"/>
      <c r="N144" s="2"/>
    </row>
    <row r="145" spans="1:14" x14ac:dyDescent="0.3">
      <c r="A145" s="2"/>
      <c r="B145" s="2"/>
      <c r="C145" s="2"/>
      <c r="D145" s="2"/>
      <c r="E145" s="2"/>
      <c r="F145" s="2"/>
      <c r="G145" s="2"/>
      <c r="H145" s="2"/>
      <c r="I145" s="2"/>
      <c r="J145" s="2"/>
      <c r="K145" s="2"/>
      <c r="L145" s="2"/>
      <c r="M145" s="2"/>
      <c r="N145" s="2"/>
    </row>
    <row r="146" spans="1:14" x14ac:dyDescent="0.3">
      <c r="A146" s="2"/>
      <c r="B146" s="2"/>
      <c r="C146" s="2"/>
      <c r="D146" s="2"/>
      <c r="E146" s="2"/>
      <c r="F146" s="2"/>
      <c r="G146" s="2"/>
      <c r="H146" s="2"/>
      <c r="I146" s="2"/>
      <c r="J146" s="2"/>
      <c r="K146" s="2"/>
      <c r="L146" s="2"/>
      <c r="M146" s="2"/>
      <c r="N146" s="2"/>
    </row>
    <row r="147" spans="1:14" x14ac:dyDescent="0.3">
      <c r="A147" s="2"/>
      <c r="B147" s="2"/>
      <c r="C147" s="2"/>
      <c r="D147" s="2"/>
      <c r="E147" s="2"/>
      <c r="F147" s="2"/>
      <c r="G147" s="2"/>
      <c r="H147" s="2"/>
      <c r="I147" s="2"/>
      <c r="J147" s="2"/>
      <c r="K147" s="2"/>
      <c r="L147" s="2"/>
      <c r="M147" s="2"/>
      <c r="N147" s="2"/>
    </row>
    <row r="148" spans="1:14" x14ac:dyDescent="0.3">
      <c r="A148" s="2"/>
      <c r="B148" s="2"/>
      <c r="C148" s="2"/>
      <c r="D148" s="2"/>
      <c r="E148" s="2"/>
      <c r="F148" s="2"/>
      <c r="G148" s="2"/>
      <c r="H148" s="2"/>
      <c r="I148" s="2"/>
      <c r="J148" s="2"/>
      <c r="K148" s="2"/>
      <c r="L148" s="2"/>
      <c r="M148" s="2"/>
      <c r="N148" s="2"/>
    </row>
    <row r="149" spans="1:14" x14ac:dyDescent="0.3">
      <c r="A149" s="2"/>
      <c r="B149" s="2"/>
      <c r="C149" s="2"/>
      <c r="D149" s="2"/>
      <c r="E149" s="2"/>
      <c r="F149" s="2"/>
      <c r="G149" s="2"/>
      <c r="H149" s="2"/>
      <c r="I149" s="2"/>
      <c r="J149" s="2"/>
      <c r="K149" s="2"/>
      <c r="L149" s="2"/>
      <c r="M149" s="2"/>
      <c r="N149" s="2"/>
    </row>
    <row r="150" spans="1:14" x14ac:dyDescent="0.3">
      <c r="A150" s="2"/>
      <c r="B150" s="2"/>
      <c r="C150" s="2"/>
      <c r="D150" s="2"/>
      <c r="E150" s="2"/>
      <c r="F150" s="2"/>
      <c r="G150" s="2"/>
      <c r="H150" s="2"/>
      <c r="I150" s="2"/>
      <c r="J150" s="2"/>
      <c r="K150" s="2"/>
      <c r="L150" s="2"/>
      <c r="M150" s="2"/>
      <c r="N150" s="2"/>
    </row>
    <row r="151" spans="1:14" x14ac:dyDescent="0.3">
      <c r="A151" s="2"/>
      <c r="B151" s="2"/>
      <c r="C151" s="2"/>
      <c r="D151" s="2"/>
      <c r="E151" s="2"/>
      <c r="F151" s="2"/>
      <c r="G151" s="2"/>
      <c r="H151" s="2"/>
      <c r="I151" s="2"/>
      <c r="J151" s="2"/>
      <c r="K151" s="2"/>
      <c r="L151" s="2"/>
      <c r="M151" s="2"/>
      <c r="N151" s="2"/>
    </row>
    <row r="152" spans="1:14" x14ac:dyDescent="0.3">
      <c r="A152" s="2"/>
      <c r="B152" s="2"/>
      <c r="C152" s="2"/>
      <c r="D152" s="2"/>
      <c r="E152" s="2"/>
      <c r="F152" s="2"/>
      <c r="G152" s="2"/>
      <c r="H152" s="2"/>
      <c r="I152" s="2"/>
      <c r="J152" s="2"/>
      <c r="K152" s="2"/>
      <c r="L152" s="2"/>
      <c r="M152" s="2"/>
      <c r="N152" s="2"/>
    </row>
    <row r="153" spans="1:14" x14ac:dyDescent="0.3">
      <c r="A153" s="2"/>
      <c r="B153" s="2"/>
      <c r="C153" s="2"/>
      <c r="D153" s="2"/>
      <c r="E153" s="2"/>
      <c r="F153" s="2"/>
      <c r="G153" s="2"/>
      <c r="H153" s="2"/>
      <c r="I153" s="2"/>
      <c r="J153" s="2"/>
      <c r="K153" s="2"/>
      <c r="L153" s="2"/>
      <c r="M153" s="2"/>
      <c r="N153" s="2"/>
    </row>
    <row r="154" spans="1:14" x14ac:dyDescent="0.3">
      <c r="A154" s="2"/>
      <c r="B154" s="2"/>
      <c r="C154" s="2"/>
      <c r="D154" s="2"/>
      <c r="E154" s="2"/>
      <c r="F154" s="2"/>
      <c r="G154" s="2"/>
      <c r="H154" s="2"/>
      <c r="I154" s="2"/>
      <c r="J154" s="2"/>
      <c r="K154" s="2"/>
      <c r="L154" s="2"/>
      <c r="M154" s="2"/>
      <c r="N154" s="2"/>
    </row>
    <row r="155" spans="1:14" x14ac:dyDescent="0.3">
      <c r="A155" s="2"/>
      <c r="B155" s="2"/>
      <c r="C155" s="2"/>
      <c r="D155" s="2"/>
      <c r="E155" s="2"/>
      <c r="F155" s="2"/>
      <c r="G155" s="2"/>
      <c r="H155" s="2"/>
      <c r="I155" s="2"/>
      <c r="J155" s="2"/>
      <c r="K155" s="2"/>
      <c r="L155" s="2"/>
      <c r="M155" s="2"/>
      <c r="N155" s="2"/>
    </row>
    <row r="156" spans="1:14" x14ac:dyDescent="0.3">
      <c r="A156" s="2"/>
      <c r="B156" s="2"/>
      <c r="C156" s="2"/>
      <c r="D156" s="2"/>
      <c r="E156" s="2"/>
      <c r="F156" s="2"/>
      <c r="G156" s="2"/>
      <c r="H156" s="2"/>
      <c r="I156" s="2"/>
      <c r="J156" s="2"/>
      <c r="K156" s="2"/>
      <c r="L156" s="2"/>
      <c r="M156" s="2"/>
      <c r="N156" s="2"/>
    </row>
    <row r="157" spans="1:14" x14ac:dyDescent="0.3">
      <c r="A157" s="2"/>
      <c r="B157" s="2"/>
      <c r="C157" s="2"/>
      <c r="D157" s="2"/>
      <c r="E157" s="2"/>
      <c r="F157" s="2"/>
      <c r="G157" s="2"/>
      <c r="H157" s="2"/>
      <c r="I157" s="2"/>
      <c r="J157" s="2"/>
      <c r="K157" s="2"/>
      <c r="L157" s="2"/>
      <c r="M157" s="2"/>
      <c r="N157" s="2"/>
    </row>
    <row r="158" spans="1:14" x14ac:dyDescent="0.3">
      <c r="A158" s="2"/>
      <c r="B158" s="2"/>
      <c r="C158" s="2"/>
      <c r="D158" s="2"/>
      <c r="E158" s="2"/>
      <c r="F158" s="2"/>
      <c r="G158" s="2"/>
      <c r="H158" s="2"/>
      <c r="I158" s="2"/>
      <c r="J158" s="2"/>
      <c r="K158" s="2"/>
      <c r="L158" s="2"/>
      <c r="M158" s="2"/>
      <c r="N158" s="2"/>
    </row>
    <row r="159" spans="1:14" x14ac:dyDescent="0.3">
      <c r="A159" s="2"/>
      <c r="B159" s="2"/>
      <c r="C159" s="2"/>
      <c r="D159" s="2"/>
      <c r="E159" s="2"/>
      <c r="F159" s="2"/>
      <c r="G159" s="2"/>
      <c r="H159" s="2"/>
      <c r="I159" s="2"/>
      <c r="J159" s="2"/>
      <c r="K159" s="2"/>
      <c r="L159" s="2"/>
      <c r="M159" s="2"/>
      <c r="N159" s="2"/>
    </row>
    <row r="160" spans="1:14" x14ac:dyDescent="0.3">
      <c r="A160" s="2"/>
      <c r="B160" s="2"/>
      <c r="C160" s="2"/>
      <c r="D160" s="2"/>
      <c r="E160" s="2"/>
      <c r="F160" s="2"/>
      <c r="G160" s="2"/>
      <c r="H160" s="2"/>
      <c r="I160" s="2"/>
      <c r="J160" s="2"/>
      <c r="K160" s="2"/>
      <c r="L160" s="2"/>
      <c r="M160" s="2"/>
      <c r="N160" s="2"/>
    </row>
    <row r="161" spans="1:14" x14ac:dyDescent="0.3">
      <c r="A161" s="2"/>
      <c r="B161" s="2"/>
      <c r="C161" s="2"/>
      <c r="D161" s="2"/>
      <c r="E161" s="2"/>
      <c r="F161" s="2"/>
      <c r="G161" s="2"/>
      <c r="H161" s="2"/>
      <c r="I161" s="2"/>
      <c r="J161" s="2"/>
      <c r="K161" s="2"/>
      <c r="L161" s="2"/>
      <c r="M161" s="2"/>
      <c r="N161" s="2"/>
    </row>
    <row r="162" spans="1:14" x14ac:dyDescent="0.3">
      <c r="A162" s="2"/>
      <c r="B162" s="2"/>
      <c r="C162" s="2"/>
      <c r="D162" s="2"/>
      <c r="E162" s="2"/>
      <c r="F162" s="2"/>
      <c r="G162" s="2"/>
      <c r="H162" s="2"/>
      <c r="I162" s="2"/>
      <c r="J162" s="2"/>
      <c r="K162" s="2"/>
      <c r="L162" s="2"/>
      <c r="M162" s="2"/>
      <c r="N162" s="2"/>
    </row>
    <row r="163" spans="1:14" x14ac:dyDescent="0.3">
      <c r="A163" s="2"/>
      <c r="B163" s="2"/>
      <c r="C163" s="2"/>
      <c r="D163" s="2"/>
      <c r="E163" s="2"/>
      <c r="F163" s="2"/>
      <c r="G163" s="2"/>
      <c r="H163" s="2"/>
      <c r="I163" s="2"/>
      <c r="J163" s="2"/>
      <c r="K163" s="2"/>
      <c r="L163" s="2"/>
      <c r="M163" s="2"/>
      <c r="N163" s="2"/>
    </row>
    <row r="164" spans="1:14" x14ac:dyDescent="0.3">
      <c r="A164" s="2"/>
      <c r="B164" s="2"/>
      <c r="C164" s="2"/>
      <c r="D164" s="2"/>
      <c r="E164" s="2"/>
      <c r="F164" s="2"/>
      <c r="G164" s="2"/>
      <c r="H164" s="2"/>
      <c r="I164" s="2"/>
      <c r="J164" s="2"/>
      <c r="K164" s="2"/>
      <c r="L164" s="2"/>
      <c r="M164" s="2"/>
      <c r="N164" s="2"/>
    </row>
    <row r="165" spans="1:14" x14ac:dyDescent="0.3">
      <c r="A165" s="2"/>
      <c r="B165" s="2"/>
      <c r="C165" s="2"/>
      <c r="D165" s="2"/>
      <c r="E165" s="2"/>
      <c r="F165" s="2"/>
      <c r="G165" s="2"/>
      <c r="H165" s="2"/>
      <c r="I165" s="2"/>
      <c r="J165" s="2"/>
      <c r="K165" s="2"/>
      <c r="L165" s="2"/>
      <c r="M165" s="2"/>
      <c r="N165" s="2"/>
    </row>
    <row r="166" spans="1:14" x14ac:dyDescent="0.3">
      <c r="A166" s="2"/>
      <c r="B166" s="2"/>
      <c r="C166" s="2"/>
      <c r="D166" s="2"/>
      <c r="E166" s="2"/>
      <c r="F166" s="2"/>
      <c r="G166" s="2"/>
      <c r="H166" s="2"/>
      <c r="I166" s="2"/>
      <c r="J166" s="2"/>
      <c r="K166" s="2"/>
      <c r="L166" s="2"/>
      <c r="M166" s="2"/>
      <c r="N166" s="2"/>
    </row>
    <row r="167" spans="1:14" x14ac:dyDescent="0.3">
      <c r="A167" s="2"/>
      <c r="B167" s="2"/>
      <c r="C167" s="2"/>
      <c r="D167" s="2"/>
      <c r="E167" s="2"/>
      <c r="F167" s="2"/>
      <c r="G167" s="2"/>
      <c r="H167" s="2"/>
      <c r="I167" s="2"/>
      <c r="J167" s="2"/>
      <c r="K167" s="2"/>
      <c r="L167" s="2"/>
      <c r="M167" s="2"/>
      <c r="N167" s="2"/>
    </row>
    <row r="168" spans="1:14" x14ac:dyDescent="0.3">
      <c r="A168" s="2"/>
      <c r="B168" s="2"/>
      <c r="C168" s="2"/>
      <c r="D168" s="2"/>
      <c r="E168" s="2"/>
      <c r="F168" s="2"/>
      <c r="G168" s="2"/>
      <c r="H168" s="2"/>
      <c r="I168" s="2"/>
      <c r="J168" s="2"/>
      <c r="K168" s="2"/>
      <c r="L168" s="2"/>
      <c r="M168" s="2"/>
      <c r="N168" s="2"/>
    </row>
    <row r="169" spans="1:14" x14ac:dyDescent="0.3">
      <c r="A169" s="2"/>
      <c r="B169" s="2"/>
      <c r="C169" s="2"/>
      <c r="D169" s="2"/>
      <c r="E169" s="2"/>
      <c r="F169" s="2"/>
      <c r="G169" s="2"/>
      <c r="H169" s="2"/>
      <c r="I169" s="2"/>
      <c r="J169" s="2"/>
      <c r="K169" s="2"/>
      <c r="L169" s="2"/>
      <c r="M169" s="2"/>
      <c r="N169" s="2"/>
    </row>
    <row r="170" spans="1:14" x14ac:dyDescent="0.3">
      <c r="A170" s="2"/>
      <c r="B170" s="2"/>
      <c r="C170" s="2"/>
      <c r="D170" s="2"/>
      <c r="E170" s="2"/>
      <c r="F170" s="2"/>
      <c r="G170" s="2"/>
      <c r="H170" s="2"/>
      <c r="I170" s="2"/>
      <c r="J170" s="2"/>
      <c r="K170" s="2"/>
      <c r="L170" s="2"/>
      <c r="M170" s="2"/>
      <c r="N170" s="2"/>
    </row>
    <row r="171" spans="1:14" x14ac:dyDescent="0.3">
      <c r="A171" s="2"/>
      <c r="B171" s="2"/>
      <c r="C171" s="2"/>
      <c r="D171" s="2"/>
      <c r="E171" s="2"/>
      <c r="F171" s="2"/>
      <c r="G171" s="2"/>
      <c r="H171" s="2"/>
      <c r="I171" s="2"/>
      <c r="J171" s="2"/>
      <c r="K171" s="2"/>
      <c r="L171" s="2"/>
      <c r="M171" s="2"/>
      <c r="N171" s="2"/>
    </row>
    <row r="172" spans="1:14" x14ac:dyDescent="0.3">
      <c r="A172" s="2"/>
      <c r="B172" s="2"/>
      <c r="C172" s="2"/>
      <c r="D172" s="2"/>
      <c r="E172" s="2"/>
      <c r="F172" s="2"/>
      <c r="G172" s="2"/>
      <c r="H172" s="2"/>
      <c r="I172" s="2"/>
      <c r="J172" s="2"/>
      <c r="K172" s="2"/>
      <c r="L172" s="2"/>
      <c r="M172" s="2"/>
      <c r="N172" s="2"/>
    </row>
    <row r="173" spans="1:14" x14ac:dyDescent="0.3">
      <c r="A173" s="2"/>
      <c r="B173" s="2"/>
      <c r="C173" s="2"/>
      <c r="D173" s="2"/>
      <c r="E173" s="2"/>
      <c r="F173" s="2"/>
      <c r="G173" s="2"/>
      <c r="H173" s="2"/>
      <c r="I173" s="2"/>
      <c r="J173" s="2"/>
      <c r="K173" s="2"/>
      <c r="L173" s="2"/>
      <c r="M173" s="2"/>
      <c r="N173" s="2"/>
    </row>
    <row r="174" spans="1:14" x14ac:dyDescent="0.3">
      <c r="A174" s="2"/>
      <c r="B174" s="2"/>
      <c r="C174" s="2"/>
      <c r="D174" s="2"/>
      <c r="E174" s="2"/>
      <c r="F174" s="2"/>
      <c r="G174" s="2"/>
      <c r="H174" s="2"/>
      <c r="I174" s="2"/>
      <c r="J174" s="2"/>
      <c r="K174" s="2"/>
      <c r="L174" s="2"/>
      <c r="M174" s="2"/>
      <c r="N174" s="2"/>
    </row>
    <row r="175" spans="1:14" x14ac:dyDescent="0.3">
      <c r="A175" s="2"/>
      <c r="B175" s="2"/>
      <c r="C175" s="2"/>
      <c r="D175" s="2"/>
      <c r="E175" s="2"/>
      <c r="F175" s="2"/>
      <c r="G175" s="2"/>
      <c r="H175" s="2"/>
      <c r="I175" s="2"/>
      <c r="J175" s="2"/>
      <c r="K175" s="2"/>
      <c r="L175" s="2"/>
      <c r="M175" s="2"/>
      <c r="N175" s="2"/>
    </row>
    <row r="176" spans="1:14" x14ac:dyDescent="0.3">
      <c r="A176" s="2"/>
      <c r="B176" s="2"/>
      <c r="C176" s="2"/>
      <c r="D176" s="2"/>
      <c r="E176" s="2"/>
      <c r="F176" s="2"/>
      <c r="G176" s="2"/>
      <c r="H176" s="2"/>
      <c r="I176" s="2"/>
      <c r="J176" s="2"/>
      <c r="K176" s="2"/>
      <c r="L176" s="2"/>
      <c r="M176" s="2"/>
      <c r="N176" s="2"/>
    </row>
    <row r="177" spans="1:14" x14ac:dyDescent="0.3">
      <c r="A177" s="2"/>
      <c r="B177" s="2"/>
      <c r="C177" s="2"/>
      <c r="D177" s="2"/>
      <c r="E177" s="2"/>
      <c r="F177" s="2"/>
      <c r="G177" s="2"/>
      <c r="H177" s="2"/>
      <c r="I177" s="2"/>
      <c r="J177" s="2"/>
      <c r="K177" s="2"/>
      <c r="L177" s="2"/>
      <c r="M177" s="2"/>
      <c r="N177" s="2"/>
    </row>
    <row r="178" spans="1:14" x14ac:dyDescent="0.3">
      <c r="A178" s="2"/>
      <c r="B178" s="2"/>
      <c r="C178" s="2"/>
      <c r="D178" s="2"/>
      <c r="E178" s="2"/>
      <c r="F178" s="2"/>
      <c r="G178" s="2"/>
      <c r="H178" s="2"/>
      <c r="I178" s="2"/>
      <c r="J178" s="2"/>
      <c r="K178" s="2"/>
      <c r="L178" s="2"/>
      <c r="M178" s="2"/>
      <c r="N178" s="2"/>
    </row>
    <row r="179" spans="1:14" x14ac:dyDescent="0.3">
      <c r="A179" s="2"/>
      <c r="B179" s="2"/>
      <c r="C179" s="2"/>
      <c r="D179" s="2"/>
      <c r="E179" s="2"/>
      <c r="F179" s="2"/>
      <c r="G179" s="2"/>
      <c r="H179" s="2"/>
      <c r="I179" s="2"/>
      <c r="J179" s="2"/>
      <c r="K179" s="2"/>
      <c r="L179" s="2"/>
      <c r="M179" s="2"/>
      <c r="N179" s="2"/>
    </row>
    <row r="180" spans="1:14" x14ac:dyDescent="0.3">
      <c r="A180" s="2"/>
      <c r="B180" s="2"/>
      <c r="C180" s="2"/>
      <c r="D180" s="2"/>
      <c r="E180" s="2"/>
      <c r="F180" s="2"/>
      <c r="G180" s="2"/>
      <c r="H180" s="2"/>
      <c r="I180" s="2"/>
      <c r="J180" s="2"/>
      <c r="K180" s="2"/>
      <c r="L180" s="2"/>
      <c r="M180" s="2"/>
      <c r="N180" s="2"/>
    </row>
    <row r="181" spans="1:14" x14ac:dyDescent="0.3">
      <c r="A181" s="2"/>
      <c r="B181" s="2"/>
      <c r="C181" s="2"/>
      <c r="D181" s="2"/>
      <c r="E181" s="2"/>
      <c r="F181" s="2"/>
      <c r="G181" s="2"/>
      <c r="H181" s="2"/>
      <c r="I181" s="2"/>
      <c r="J181" s="2"/>
      <c r="K181" s="2"/>
      <c r="L181" s="2"/>
      <c r="M181" s="2"/>
      <c r="N181" s="2"/>
    </row>
    <row r="182" spans="1:14" x14ac:dyDescent="0.3">
      <c r="A182" s="2"/>
      <c r="B182" s="2"/>
      <c r="C182" s="2"/>
      <c r="D182" s="2"/>
      <c r="E182" s="2"/>
      <c r="F182" s="2"/>
      <c r="G182" s="2"/>
      <c r="H182" s="2"/>
      <c r="I182" s="2"/>
      <c r="J182" s="2"/>
      <c r="K182" s="2"/>
      <c r="L182" s="2"/>
      <c r="M182" s="2"/>
      <c r="N182" s="2"/>
    </row>
    <row r="183" spans="1:14" x14ac:dyDescent="0.3">
      <c r="A183" s="2"/>
      <c r="B183" s="2"/>
      <c r="C183" s="2"/>
      <c r="D183" s="2"/>
      <c r="E183" s="2"/>
      <c r="F183" s="2"/>
      <c r="G183" s="2"/>
      <c r="H183" s="2"/>
      <c r="I183" s="2"/>
      <c r="J183" s="2"/>
      <c r="K183" s="2"/>
      <c r="L183" s="2"/>
      <c r="M183" s="2"/>
      <c r="N183" s="2"/>
    </row>
    <row r="184" spans="1:14" x14ac:dyDescent="0.3">
      <c r="A184" s="2"/>
      <c r="B184" s="2"/>
      <c r="C184" s="2"/>
      <c r="D184" s="2"/>
      <c r="E184" s="2"/>
      <c r="F184" s="2"/>
      <c r="G184" s="2"/>
      <c r="H184" s="2"/>
      <c r="I184" s="2"/>
      <c r="J184" s="2"/>
      <c r="K184" s="2"/>
      <c r="L184" s="2"/>
      <c r="M184" s="2"/>
      <c r="N184" s="2"/>
    </row>
    <row r="185" spans="1:14" x14ac:dyDescent="0.3">
      <c r="A185" s="2"/>
      <c r="B185" s="2"/>
      <c r="C185" s="2"/>
      <c r="D185" s="2"/>
      <c r="E185" s="2"/>
      <c r="F185" s="2"/>
      <c r="G185" s="2"/>
      <c r="H185" s="2"/>
      <c r="I185" s="2"/>
      <c r="J185" s="2"/>
      <c r="K185" s="2"/>
      <c r="L185" s="2"/>
      <c r="M185" s="2"/>
      <c r="N185" s="2"/>
    </row>
    <row r="186" spans="1:14" x14ac:dyDescent="0.3">
      <c r="A186" s="2"/>
      <c r="B186" s="2"/>
      <c r="C186" s="2"/>
      <c r="D186" s="2"/>
      <c r="E186" s="2"/>
      <c r="F186" s="2"/>
      <c r="G186" s="2"/>
      <c r="H186" s="2"/>
      <c r="I186" s="2"/>
      <c r="J186" s="2"/>
      <c r="K186" s="2"/>
      <c r="L186" s="2"/>
      <c r="M186" s="2"/>
      <c r="N186" s="2"/>
    </row>
    <row r="187" spans="1:14" x14ac:dyDescent="0.3">
      <c r="A187" s="2"/>
      <c r="B187" s="2"/>
      <c r="C187" s="2"/>
      <c r="D187" s="2"/>
      <c r="E187" s="2"/>
      <c r="F187" s="2"/>
      <c r="G187" s="2"/>
      <c r="H187" s="2"/>
      <c r="I187" s="2"/>
      <c r="J187" s="2"/>
      <c r="K187" s="2"/>
      <c r="L187" s="2"/>
      <c r="M187" s="2"/>
      <c r="N187" s="2"/>
    </row>
    <row r="188" spans="1:14" x14ac:dyDescent="0.3">
      <c r="A188" s="2"/>
      <c r="B188" s="2"/>
      <c r="C188" s="2"/>
      <c r="D188" s="2"/>
      <c r="E188" s="2"/>
      <c r="F188" s="2"/>
      <c r="G188" s="2"/>
      <c r="H188" s="2"/>
      <c r="I188" s="2"/>
      <c r="J188" s="2"/>
      <c r="K188" s="2"/>
      <c r="L188" s="2"/>
      <c r="M188" s="2"/>
      <c r="N188" s="2"/>
    </row>
    <row r="189" spans="1:14" x14ac:dyDescent="0.3">
      <c r="A189" s="2"/>
      <c r="B189" s="2"/>
      <c r="C189" s="2"/>
      <c r="D189" s="2"/>
      <c r="E189" s="2"/>
      <c r="F189" s="2"/>
      <c r="G189" s="2"/>
      <c r="H189" s="2"/>
      <c r="I189" s="2"/>
      <c r="J189" s="2"/>
      <c r="K189" s="2"/>
      <c r="L189" s="2"/>
      <c r="M189" s="2"/>
      <c r="N189" s="2"/>
    </row>
    <row r="190" spans="1:14" x14ac:dyDescent="0.3">
      <c r="A190" s="2"/>
      <c r="B190" s="2"/>
      <c r="C190" s="2"/>
      <c r="D190" s="2"/>
      <c r="E190" s="2"/>
      <c r="F190" s="2"/>
      <c r="G190" s="2"/>
      <c r="H190" s="2"/>
      <c r="I190" s="2"/>
      <c r="J190" s="2"/>
      <c r="K190" s="2"/>
      <c r="L190" s="2"/>
      <c r="M190" s="2"/>
      <c r="N190" s="2"/>
    </row>
    <row r="191" spans="1:14" x14ac:dyDescent="0.3">
      <c r="A191" s="2"/>
      <c r="B191" s="2"/>
      <c r="C191" s="2"/>
      <c r="D191" s="2"/>
      <c r="E191" s="2"/>
      <c r="F191" s="2"/>
      <c r="G191" s="2"/>
      <c r="H191" s="2"/>
      <c r="I191" s="2"/>
      <c r="J191" s="2"/>
      <c r="K191" s="2"/>
      <c r="L191" s="2"/>
      <c r="M191" s="2"/>
      <c r="N191" s="2"/>
    </row>
    <row r="192" spans="1:14" x14ac:dyDescent="0.3">
      <c r="A192" s="2"/>
      <c r="B192" s="2"/>
      <c r="C192" s="2"/>
      <c r="D192" s="2"/>
      <c r="E192" s="2"/>
      <c r="F192" s="2"/>
      <c r="G192" s="2"/>
      <c r="H192" s="2"/>
      <c r="I192" s="2"/>
      <c r="J192" s="2"/>
      <c r="K192" s="2"/>
      <c r="L192" s="2"/>
      <c r="M192" s="2"/>
      <c r="N192" s="2"/>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Index TBL</vt:lpstr>
      <vt:lpstr>Index PVTBL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Christensen, Joseph (christensen@uidaho.edu)</dc:creator>
  <cp:lastModifiedBy>Christensen, Joseph (christensen@uidaho.edu)</cp:lastModifiedBy>
  <dcterms:created xsi:type="dcterms:W3CDTF">2018-09-06T18:39:46Z</dcterms:created>
  <dcterms:modified xsi:type="dcterms:W3CDTF">2018-09-10T22:29:44Z</dcterms:modified>
</cp:coreProperties>
</file>