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9750" windowHeight="8930" firstSheet="4" activeTab="5"/>
  </bookViews>
  <sheets>
    <sheet name="Title" sheetId="1" r:id="rId1"/>
    <sheet name="Input Prices" sheetId="2" r:id="rId2"/>
    <sheet name="Summary" sheetId="3" r:id="rId3"/>
    <sheet name="Graphics" sheetId="4" r:id="rId4"/>
    <sheet name="D1 Open Lots, 210-Head Holstein" sheetId="5" r:id="rId5"/>
    <sheet name="D2 Free Stall 210-Head Holstein" sheetId="6" r:id="rId6"/>
    <sheet name="D3 Free Stall, 120-Head Jersey" sheetId="7" r:id="rId7"/>
  </sheets>
  <definedNames>
    <definedName name="alf">'Input Prices'!#REF!</definedName>
    <definedName name="alfalfa">'Input Prices'!$C$10</definedName>
    <definedName name="Alfgrass">'Input Prices'!#REF!</definedName>
    <definedName name="Barley">'Input Prices'!#REF!</definedName>
    <definedName name="barngn">'Input Prices'!$C$7</definedName>
    <definedName name="Bull">'Input Prices'!#REF!</definedName>
    <definedName name="ChkOff">'Input Prices'!#REF!</definedName>
    <definedName name="corn">'Input Prices'!$C$6</definedName>
    <definedName name="CropAft">'Input Prices'!#REF!</definedName>
    <definedName name="Cull">'Input Prices'!#REF!</definedName>
    <definedName name="diesel">'Input Prices'!$C$13</definedName>
    <definedName name="fed">'Input Prices'!#REF!</definedName>
    <definedName name="feeder">'Input Prices'!$C$9</definedName>
    <definedName name="gas">'Input Prices'!$C$14</definedName>
    <definedName name="Heifer">'Input Prices'!#REF!</definedName>
    <definedName name="hiredftlabor">'Input Prices'!$C$18</definedName>
    <definedName name="hiredptlabor">'Input Prices'!$C$17</definedName>
    <definedName name="hrdlbr">'Input Prices'!#REF!</definedName>
    <definedName name="Mdwhay">'Input Prices'!#REF!</definedName>
    <definedName name="Mdwpastr">'Input Prices'!#REF!</definedName>
    <definedName name="Meadow">'Input Prices'!#REF!</definedName>
    <definedName name="minerals">'Input Prices'!$C$8</definedName>
    <definedName name="opint">'Input Prices'!$C$22</definedName>
    <definedName name="ownlbr">'Input Prices'!$C$19</definedName>
    <definedName name="_xlnm.Print_Area" localSheetId="4">'D1 Open Lots, 210-Head Holstein'!$A$1:$I$58</definedName>
    <definedName name="_xlnm.Print_Area" localSheetId="5">'D2 Free Stall 210-Head Holstein'!$A$1:$I$58</definedName>
    <definedName name="_xlnm.Print_Area" localSheetId="6">'D3 Free Stall, 120-Head Jersey'!$A$1:$I$59</definedName>
    <definedName name="_xlnm.Print_Area" localSheetId="3">'Graphics'!$A$1:$I$68</definedName>
    <definedName name="_xlnm.Print_Area" localSheetId="1">'Input Prices'!$A$1:$D$24</definedName>
    <definedName name="_xlnm.Print_Area" localSheetId="2">'Summary'!$B$1:$I$28</definedName>
    <definedName name="_xlnm.Print_Area" localSheetId="0">'Title'!$A$1:$M$36</definedName>
    <definedName name="Private">'Input Prices'!#REF!</definedName>
    <definedName name="RepHeif">'Input Prices'!#REF!</definedName>
    <definedName name="Retlivint">'Input Prices'!$C$23</definedName>
    <definedName name="Salt">'Input Prices'!#REF!</definedName>
    <definedName name="state">'Input Prices'!#REF!</definedName>
    <definedName name="Steer">'Input Prices'!#REF!</definedName>
  </definedNames>
  <calcPr fullCalcOnLoad="1"/>
</workbook>
</file>

<file path=xl/sharedStrings.xml><?xml version="1.0" encoding="utf-8"?>
<sst xmlns="http://schemas.openxmlformats.org/spreadsheetml/2006/main" count="420" uniqueCount="143">
  <si>
    <t>Total Number</t>
  </si>
  <si>
    <t>Weight</t>
  </si>
  <si>
    <t>of Head</t>
  </si>
  <si>
    <t>Price or</t>
  </si>
  <si>
    <t>Total Value</t>
  </si>
  <si>
    <t>Value or</t>
  </si>
  <si>
    <t>Each</t>
  </si>
  <si>
    <t>Unit</t>
  </si>
  <si>
    <t>Or Units</t>
  </si>
  <si>
    <t>Cost/Unit</t>
  </si>
  <si>
    <t>Cost/Head</t>
  </si>
  <si>
    <t>Gross Receipts</t>
  </si>
  <si>
    <t>cwt</t>
  </si>
  <si>
    <t>Heifer calves</t>
  </si>
  <si>
    <t>Cull cows</t>
  </si>
  <si>
    <t>Operating Costs</t>
  </si>
  <si>
    <t>Alfalfa hay</t>
  </si>
  <si>
    <t>head</t>
  </si>
  <si>
    <t>$</t>
  </si>
  <si>
    <t>Machinery (fuel, lubrication, repair)</t>
  </si>
  <si>
    <t>Vehicles (fuel, repair)</t>
  </si>
  <si>
    <t>Equipment (repair)</t>
  </si>
  <si>
    <t>Housing and Improvements (repair)</t>
  </si>
  <si>
    <t>Hired Labor</t>
  </si>
  <si>
    <t>hour</t>
  </si>
  <si>
    <t>Interest on Operating Capital</t>
  </si>
  <si>
    <t>Income Above Operating Costs</t>
  </si>
  <si>
    <t>Ownership Costs</t>
  </si>
  <si>
    <t>Capital Recovery:</t>
  </si>
  <si>
    <t>Purchased Livestock</t>
  </si>
  <si>
    <t>Machinery</t>
  </si>
  <si>
    <t>Equipment</t>
  </si>
  <si>
    <t>Vehicles</t>
  </si>
  <si>
    <t>Taxes and Insurance</t>
  </si>
  <si>
    <t>Overhead</t>
  </si>
  <si>
    <t>Total Costs</t>
  </si>
  <si>
    <t xml:space="preserve">   Total Receipts</t>
  </si>
  <si>
    <t xml:space="preserve">   Total Operating Costs</t>
  </si>
  <si>
    <t xml:space="preserve">   Total Ownership Costs</t>
  </si>
  <si>
    <t>Housing and Improve.</t>
  </si>
  <si>
    <t>Retained Livestock</t>
  </si>
  <si>
    <t>Item</t>
  </si>
  <si>
    <t>Price/unit</t>
  </si>
  <si>
    <t>percent</t>
  </si>
  <si>
    <t>Interest:</t>
  </si>
  <si>
    <t>Operating Loan</t>
  </si>
  <si>
    <t>Table 1. Input Prices</t>
  </si>
  <si>
    <t>Feed:</t>
  </si>
  <si>
    <t>Labor:</t>
  </si>
  <si>
    <t>Owner Labor</t>
  </si>
  <si>
    <t>Interest on Retained Livestock</t>
  </si>
  <si>
    <t>Returns Risk and Management</t>
  </si>
  <si>
    <t>Corn Silage</t>
  </si>
  <si>
    <t>Milk</t>
  </si>
  <si>
    <t>Bull calves</t>
  </si>
  <si>
    <t>Corn silage</t>
  </si>
  <si>
    <t>Feeder hay</t>
  </si>
  <si>
    <t>Marketing</t>
  </si>
  <si>
    <t>Utilities</t>
  </si>
  <si>
    <t>Bedding</t>
  </si>
  <si>
    <t>Professional Service</t>
  </si>
  <si>
    <t>Replacement heifers</t>
  </si>
  <si>
    <t>Table 3: Holstein Dairy Enterprise Annual Cow Budget</t>
  </si>
  <si>
    <t>Open lots, no housing, barn-fed concentrates</t>
  </si>
  <si>
    <t>Free stall housing, total mixed rations</t>
  </si>
  <si>
    <t>Free stall housing</t>
  </si>
  <si>
    <t>Interest</t>
  </si>
  <si>
    <t>Hired labor, part-time</t>
  </si>
  <si>
    <t>Hired labor, full-time</t>
  </si>
  <si>
    <t>Owner labor</t>
  </si>
  <si>
    <t>Fuel:</t>
  </si>
  <si>
    <t>Gasoline</t>
  </si>
  <si>
    <t>Diesel, farm use</t>
  </si>
  <si>
    <t>gal</t>
  </si>
  <si>
    <t>Legal and accounting</t>
  </si>
  <si>
    <t>Interest on operating capital</t>
  </si>
  <si>
    <t>Supplies</t>
  </si>
  <si>
    <t>Custom manure management</t>
  </si>
  <si>
    <t>State &amp; association charges</t>
  </si>
  <si>
    <t>Insurance</t>
  </si>
  <si>
    <t>Miscellaneous</t>
  </si>
  <si>
    <t>State &amp; association fees</t>
  </si>
  <si>
    <t>Legal &amp; accounting</t>
  </si>
  <si>
    <t>210-Head, Open Lots, Holstein</t>
  </si>
  <si>
    <t>120-Head, Free Stall, Jersey</t>
  </si>
  <si>
    <t>Table 4: Holstein Dairy Enterprise Annual Cow Budget</t>
  </si>
  <si>
    <t>Table 5: Jersey Dairy Enterprise Annual Cow Budget</t>
  </si>
  <si>
    <t>Milk production (cwt per year)</t>
  </si>
  <si>
    <t xml:space="preserve">Component levels (% of total milk produced) </t>
  </si>
  <si>
    <t xml:space="preserve">Butterfat </t>
  </si>
  <si>
    <t xml:space="preserve">Protein </t>
  </si>
  <si>
    <t xml:space="preserve">Other solids </t>
  </si>
  <si>
    <r>
      <t>Total component value per cwt</t>
    </r>
    <r>
      <rPr>
        <vertAlign val="superscript"/>
        <sz val="10"/>
        <rFont val="Arial"/>
        <family val="2"/>
      </rPr>
      <t xml:space="preserve">1 </t>
    </r>
  </si>
  <si>
    <t>Feed Expense</t>
  </si>
  <si>
    <t>Vet Expense</t>
  </si>
  <si>
    <t>Labor Expense</t>
  </si>
  <si>
    <t>Interest Expense</t>
  </si>
  <si>
    <t>$/head</t>
  </si>
  <si>
    <t>$/cwt</t>
  </si>
  <si>
    <t>Other Operating Expenses</t>
  </si>
  <si>
    <t>Total Operating Expenses</t>
  </si>
  <si>
    <t>Capital Recovery Costs</t>
  </si>
  <si>
    <t>Other Ownership Costs</t>
  </si>
  <si>
    <t>Total Ownership Costs</t>
  </si>
  <si>
    <t>Total Variable plus Ownership Expenses</t>
  </si>
  <si>
    <t>Net Returns over Operating Expenses</t>
  </si>
  <si>
    <t>Net Returns over Total Expenses</t>
  </si>
  <si>
    <t>Other Revenue</t>
  </si>
  <si>
    <t>Milk Revenue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</si>
  <si>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Formula = (% butterfat x price butterfat) + (% protein x price protein) + (% other solids x price other solids) </t>
    </r>
  </si>
  <si>
    <t>Average values for components, 2012 (USDA AMS): butterfat, $1.72/lb; protein, $3.08/lb, and other solids, $0.40/lb.</t>
  </si>
  <si>
    <t>Kathleen Painter, PhD</t>
  </si>
  <si>
    <t>Farm and Ranch Management Specialist</t>
  </si>
  <si>
    <t>Department of Agricultural Economics &amp; Rural Sociology</t>
  </si>
  <si>
    <t>Ag Science, Room 28C</t>
  </si>
  <si>
    <t>Moscow ID 83843-2334</t>
  </si>
  <si>
    <t>A comparison by breed, size, and stall type</t>
  </si>
  <si>
    <t>Photo: C. Wilson Gray</t>
  </si>
  <si>
    <t>210-Head, Free Stall, Holstein</t>
  </si>
  <si>
    <t>Total Revenue</t>
  </si>
  <si>
    <t xml:space="preserve">Total component value per cwt1 </t>
  </si>
  <si>
    <t xml:space="preserve">1Formula = (% butterfat x price butterfat) + (% protein x price protein) + (% other solids x price other solids) </t>
  </si>
  <si>
    <t>Small-sized Idaho herd, 24,127 pounds per milk cow</t>
  </si>
  <si>
    <t>Dairy concentrate</t>
  </si>
  <si>
    <t>Dry cow hay &amp; straw</t>
  </si>
  <si>
    <t>Close-up concentrate</t>
  </si>
  <si>
    <t>Milk hauling</t>
  </si>
  <si>
    <t>Hired Labor Expense</t>
  </si>
  <si>
    <t>Average values for components, 2014 (USDA AMS): butterfat, $2.38/lb; protein, $3.79/lb, and other solids, $0.47/lb.</t>
  </si>
  <si>
    <t>Graph 1. 2014 Small Dairy Budget Cost Comparisons in Idaho by Size, Stall Type, and Breed ($/cwt)</t>
  </si>
  <si>
    <t>2014 Small Dairy Budgets for Southern Idaho:</t>
  </si>
  <si>
    <t>Richard Norell</t>
  </si>
  <si>
    <t>Extension Dairy Specialist</t>
  </si>
  <si>
    <t>Idaho Falls Research and Extension Center</t>
  </si>
  <si>
    <t>Idaho Falls, ID 83402-1575</t>
  </si>
  <si>
    <t>(208) 529-8376</t>
  </si>
  <si>
    <t>rnorell@uidaho.edu</t>
  </si>
  <si>
    <t/>
  </si>
  <si>
    <t>(509) 432-5755</t>
  </si>
  <si>
    <t>Veterinary Medicine &amp; Breeding</t>
  </si>
  <si>
    <t>Table 2. 2014 Small Dairy Budget Comparisons in Idaho by Size, Stall Type, and Breed</t>
  </si>
  <si>
    <t>Small-sized Idaho herd, 25,333 pounds per milk cow</t>
  </si>
  <si>
    <t>120-Head Dairy, 19,400 lb milk per cow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</si>
</sst>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$&quot;#,##0.00"/>
    <numFmt numFmtId="169" formatCode="0.00_);\(0.00\)"/>
    <numFmt numFmtId="170" formatCode="&quot;$&quot;#,##0.000_);[Red]\(&quot;$&quot;#,##0.000\)"/>
    <numFmt numFmtId="171" formatCode="[$-409]dddd\,\ mmmm\ dd\,\ yyyy"/>
    <numFmt numFmtId="172" formatCode="[$-409]h:mm:ss\ AM/PM"/>
    <numFmt numFmtId="173" formatCode="&quot;$&quot;#,##0"/>
    <numFmt numFmtId="174" formatCode="&quot;$&quot;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8" fontId="0" fillId="0" borderId="0" xfId="0" applyNumberForma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39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8" fontId="1" fillId="33" borderId="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168" fontId="0" fillId="32" borderId="0" xfId="0" applyNumberForma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0" fontId="0" fillId="32" borderId="0" xfId="59" applyNumberFormat="1" applyFont="1" applyFill="1" applyBorder="1" applyAlignment="1">
      <alignment horizontal="center"/>
    </xf>
    <xf numFmtId="10" fontId="0" fillId="32" borderId="10" xfId="59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8" fontId="0" fillId="3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168" fontId="1" fillId="33" borderId="0" xfId="0" applyNumberFormat="1" applyFont="1" applyFill="1" applyBorder="1" applyAlignment="1">
      <alignment horizontal="left"/>
    </xf>
    <xf numFmtId="168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8" fontId="1" fillId="33" borderId="11" xfId="0" applyNumberFormat="1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left"/>
    </xf>
    <xf numFmtId="39" fontId="0" fillId="0" borderId="10" xfId="44" applyNumberFormat="1" applyFont="1" applyBorder="1" applyAlignment="1">
      <alignment/>
    </xf>
    <xf numFmtId="8" fontId="0" fillId="0" borderId="12" xfId="0" applyNumberFormat="1" applyBorder="1" applyAlignment="1">
      <alignment/>
    </xf>
    <xf numFmtId="8" fontId="0" fillId="0" borderId="13" xfId="0" applyNumberFormat="1" applyFont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68" fontId="5" fillId="32" borderId="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168" fontId="0" fillId="32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40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40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 horizontal="right" indent="1"/>
    </xf>
    <xf numFmtId="0" fontId="0" fillId="35" borderId="0" xfId="0" applyFont="1" applyFill="1" applyAlignment="1">
      <alignment/>
    </xf>
    <xf numFmtId="0" fontId="0" fillId="35" borderId="0" xfId="0" applyFill="1" applyAlignment="1">
      <alignment horizontal="left" indent="3"/>
    </xf>
    <xf numFmtId="0" fontId="0" fillId="35" borderId="0" xfId="0" applyFill="1" applyAlignment="1">
      <alignment horizontal="right"/>
    </xf>
    <xf numFmtId="168" fontId="0" fillId="35" borderId="0" xfId="0" applyNumberFormat="1" applyFill="1" applyAlignment="1">
      <alignment horizontal="right"/>
    </xf>
    <xf numFmtId="0" fontId="2" fillId="33" borderId="0" xfId="53" applyFill="1" applyBorder="1" applyAlignment="1" applyProtection="1">
      <alignment wrapText="1"/>
      <protection/>
    </xf>
    <xf numFmtId="0" fontId="0" fillId="33" borderId="0" xfId="53" applyFont="1" applyFill="1" applyBorder="1" applyAlignment="1" applyProtection="1">
      <alignment horizontal="center" wrapText="1"/>
      <protection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2" fillId="34" borderId="0" xfId="53" applyFill="1" applyAlignment="1" applyProtection="1">
      <alignment horizontal="center"/>
      <protection/>
    </xf>
    <xf numFmtId="0" fontId="0" fillId="34" borderId="0" xfId="0" applyFont="1" applyFill="1" applyAlignment="1">
      <alignment textRotation="90"/>
    </xf>
    <xf numFmtId="0" fontId="0" fillId="32" borderId="0" xfId="53" applyFont="1" applyFill="1" applyBorder="1" applyAlignment="1" applyProtection="1">
      <alignment horizontal="center" wrapText="1"/>
      <protection/>
    </xf>
    <xf numFmtId="0" fontId="0" fillId="32" borderId="0" xfId="0" applyFill="1" applyAlignment="1">
      <alignment/>
    </xf>
    <xf numFmtId="2" fontId="0" fillId="35" borderId="14" xfId="0" applyNumberFormat="1" applyFill="1" applyBorder="1" applyAlignment="1">
      <alignment horizontal="center"/>
    </xf>
    <xf numFmtId="0" fontId="0" fillId="35" borderId="14" xfId="0" applyFill="1" applyBorder="1" applyAlignment="1">
      <alignment/>
    </xf>
    <xf numFmtId="10" fontId="0" fillId="35" borderId="14" xfId="59" applyNumberFormat="1" applyFont="1" applyFill="1" applyBorder="1" applyAlignment="1">
      <alignment horizontal="center"/>
    </xf>
    <xf numFmtId="7" fontId="50" fillId="0" borderId="14" xfId="0" applyNumberFormat="1" applyFont="1" applyBorder="1" applyAlignment="1">
      <alignment horizontal="right" indent="1"/>
    </xf>
    <xf numFmtId="8" fontId="0" fillId="0" borderId="14" xfId="0" applyNumberFormat="1" applyBorder="1" applyAlignment="1">
      <alignment horizontal="right" indent="1"/>
    </xf>
    <xf numFmtId="8" fontId="0" fillId="32" borderId="14" xfId="0" applyNumberFormat="1" applyFill="1" applyBorder="1" applyAlignment="1">
      <alignment horizontal="right" indent="1"/>
    </xf>
    <xf numFmtId="7" fontId="50" fillId="32" borderId="14" xfId="0" applyNumberFormat="1" applyFont="1" applyFill="1" applyBorder="1" applyAlignment="1">
      <alignment horizontal="right" indent="1"/>
    </xf>
    <xf numFmtId="0" fontId="0" fillId="32" borderId="15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6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7" xfId="0" applyFill="1" applyBorder="1" applyAlignment="1">
      <alignment/>
    </xf>
    <xf numFmtId="0" fontId="2" fillId="33" borderId="11" xfId="53" applyFill="1" applyBorder="1" applyAlignment="1" applyProtection="1">
      <alignment wrapText="1"/>
      <protection/>
    </xf>
    <xf numFmtId="0" fontId="2" fillId="32" borderId="11" xfId="53" applyFill="1" applyBorder="1" applyAlignment="1" applyProtection="1">
      <alignment wrapText="1"/>
      <protection/>
    </xf>
    <xf numFmtId="8" fontId="1" fillId="0" borderId="14" xfId="0" applyNumberFormat="1" applyFont="1" applyBorder="1" applyAlignment="1">
      <alignment horizontal="right" indent="1"/>
    </xf>
    <xf numFmtId="8" fontId="1" fillId="32" borderId="14" xfId="0" applyNumberFormat="1" applyFont="1" applyFill="1" applyBorder="1" applyAlignment="1">
      <alignment horizontal="right" indent="1"/>
    </xf>
    <xf numFmtId="7" fontId="51" fillId="0" borderId="14" xfId="0" applyNumberFormat="1" applyFont="1" applyBorder="1" applyAlignment="1">
      <alignment horizontal="right" indent="1"/>
    </xf>
    <xf numFmtId="7" fontId="51" fillId="32" borderId="14" xfId="0" applyNumberFormat="1" applyFont="1" applyFill="1" applyBorder="1" applyAlignment="1">
      <alignment horizontal="right" indent="1"/>
    </xf>
    <xf numFmtId="0" fontId="10" fillId="35" borderId="0" xfId="0" applyFont="1" applyFill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right" indent="1"/>
    </xf>
    <xf numFmtId="166" fontId="0" fillId="0" borderId="0" xfId="0" applyNumberFormat="1" applyAlignment="1">
      <alignment horizontal="right" indent="1"/>
    </xf>
    <xf numFmtId="43" fontId="0" fillId="0" borderId="0" xfId="42" applyFont="1" applyAlignment="1">
      <alignment horizontal="right"/>
    </xf>
    <xf numFmtId="39" fontId="0" fillId="0" borderId="0" xfId="44" applyNumberFormat="1" applyFont="1" applyBorder="1" applyAlignment="1">
      <alignment/>
    </xf>
    <xf numFmtId="8" fontId="0" fillId="35" borderId="0" xfId="0" applyNumberFormat="1" applyFill="1" applyAlignment="1">
      <alignment/>
    </xf>
    <xf numFmtId="0" fontId="2" fillId="34" borderId="0" xfId="53" applyFill="1" applyAlignment="1" applyProtection="1" quotePrefix="1">
      <alignment horizontal="center"/>
      <protection/>
    </xf>
    <xf numFmtId="0" fontId="0" fillId="34" borderId="0" xfId="0" applyFill="1" applyAlignment="1">
      <alignment textRotation="90"/>
    </xf>
    <xf numFmtId="0" fontId="0" fillId="0" borderId="0" xfId="0" applyAlignment="1">
      <alignment/>
    </xf>
    <xf numFmtId="0" fontId="4" fillId="3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9" fontId="0" fillId="0" borderId="0" xfId="59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405"/>
          <c:w val="0.9822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Graphics!$D$30</c:f>
              <c:strCache>
                <c:ptCount val="1"/>
                <c:pt idx="0">
                  <c:v>210-Head, Open Lots, Holstein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Graphics!$B$31:$C$41</c:f>
              <c:multiLvlStrCache/>
            </c:multiLvlStrRef>
          </c:cat>
          <c:val>
            <c:numRef>
              <c:f>Graphics!$D$31:$D$41</c:f>
              <c:numCache/>
            </c:numRef>
          </c:val>
        </c:ser>
        <c:ser>
          <c:idx val="1"/>
          <c:order val="1"/>
          <c:tx>
            <c:strRef>
              <c:f>Graphics!$E$30</c:f>
              <c:strCache>
                <c:ptCount val="1"/>
                <c:pt idx="0">
                  <c:v>210-Head, Free Stall, Holstein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Graphics!$B$31:$C$41</c:f>
              <c:multiLvlStrCache/>
            </c:multiLvlStrRef>
          </c:cat>
          <c:val>
            <c:numRef>
              <c:f>Graphics!$E$31:$E$41</c:f>
              <c:numCache/>
            </c:numRef>
          </c:val>
        </c:ser>
        <c:ser>
          <c:idx val="2"/>
          <c:order val="2"/>
          <c:tx>
            <c:strRef>
              <c:f>Graphics!$F$30</c:f>
              <c:strCache>
                <c:ptCount val="1"/>
                <c:pt idx="0">
                  <c:v>120-Head, Free Stall, Jersey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Graphics!$B$31:$C$41</c:f>
              <c:multiLvlStrCache/>
            </c:multiLvlStrRef>
          </c:cat>
          <c:val>
            <c:numRef>
              <c:f>Graphics!$F$31:$F$41</c:f>
              <c:numCache/>
            </c:numRef>
          </c:val>
        </c:ser>
        <c:axId val="19001211"/>
        <c:axId val="36793172"/>
      </c:barChart>
      <c:catAx>
        <c:axId val="19001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93172"/>
        <c:crosses val="autoZero"/>
        <c:auto val="1"/>
        <c:lblOffset val="100"/>
        <c:tickLblSkip val="1"/>
        <c:noMultiLvlLbl val="0"/>
      </c:catAx>
      <c:valAx>
        <c:axId val="36793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1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925"/>
          <c:y val="0.004"/>
          <c:w val="0.6817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12</xdr:col>
      <xdr:colOff>152400</xdr:colOff>
      <xdr:row>7</xdr:row>
      <xdr:rowOff>142875</xdr:rowOff>
    </xdr:to>
    <xdr:pic>
      <xdr:nvPicPr>
        <xdr:cNvPr id="1" name="Picture 3" descr="01UICALS-metalli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943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9</xdr:row>
      <xdr:rowOff>133350</xdr:rowOff>
    </xdr:from>
    <xdr:to>
      <xdr:col>10</xdr:col>
      <xdr:colOff>228600</xdr:colOff>
      <xdr:row>18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1847850"/>
          <a:ext cx="50958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28</xdr:row>
      <xdr:rowOff>95250</xdr:rowOff>
    </xdr:from>
    <xdr:to>
      <xdr:col>8</xdr:col>
      <xdr:colOff>209550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381000" y="638175"/>
        <a:ext cx="70961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painter@uidaho.edu" TargetMode="External" /><Relationship Id="rId2" Type="http://schemas.openxmlformats.org/officeDocument/2006/relationships/hyperlink" Target="mailto:rnorell@uidaho.ed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3:L36"/>
  <sheetViews>
    <sheetView zoomScalePageLayoutView="0" workbookViewId="0" topLeftCell="A1">
      <selection activeCell="R9" sqref="R9"/>
    </sheetView>
  </sheetViews>
  <sheetFormatPr defaultColWidth="9.140625" defaultRowHeight="12.75"/>
  <cols>
    <col min="1" max="1" width="3.28125" style="49" customWidth="1"/>
    <col min="2" max="10" width="8.7109375" style="49" customWidth="1"/>
    <col min="11" max="11" width="4.7109375" style="49" customWidth="1"/>
    <col min="12" max="12" width="3.7109375" style="49" customWidth="1"/>
    <col min="13" max="16384" width="8.7109375" style="49" customWidth="1"/>
  </cols>
  <sheetData>
    <row r="2" ht="12.75"/>
    <row r="3" ht="12.75"/>
    <row r="4" ht="12.75"/>
    <row r="5" ht="12.75"/>
    <row r="6" ht="33" customHeight="1"/>
    <row r="7" ht="12.75"/>
    <row r="8" ht="12.75"/>
    <row r="10" ht="12.75"/>
    <row r="11" ht="12.75"/>
    <row r="12" ht="12.75"/>
    <row r="13" spans="8:9" ht="12.75">
      <c r="H13" s="96"/>
      <c r="I13" s="96"/>
    </row>
    <row r="14" spans="8:9" ht="12.75">
      <c r="H14" s="97"/>
      <c r="I14" s="97"/>
    </row>
    <row r="15" spans="8:9" ht="12.75">
      <c r="H15" s="97"/>
      <c r="I15" s="97"/>
    </row>
    <row r="16" spans="8:9" ht="12.75">
      <c r="H16" s="97"/>
      <c r="I16" s="97"/>
    </row>
    <row r="17" spans="8:9" ht="117" customHeight="1">
      <c r="H17" s="97"/>
      <c r="I17" s="97"/>
    </row>
    <row r="18" spans="8:12" ht="107.25" customHeight="1">
      <c r="H18" s="97"/>
      <c r="I18" s="97"/>
      <c r="L18" s="67" t="s">
        <v>117</v>
      </c>
    </row>
    <row r="19" ht="12.75"/>
    <row r="20" ht="17.25">
      <c r="F20" s="60" t="s">
        <v>130</v>
      </c>
    </row>
    <row r="21" ht="15">
      <c r="F21" s="61" t="s">
        <v>116</v>
      </c>
    </row>
    <row r="22" ht="12">
      <c r="F22" s="62"/>
    </row>
    <row r="23" ht="12.75">
      <c r="F23" s="63" t="s">
        <v>111</v>
      </c>
    </row>
    <row r="24" ht="12.75">
      <c r="F24" s="64" t="s">
        <v>112</v>
      </c>
    </row>
    <row r="25" ht="12.75">
      <c r="F25" s="64" t="s">
        <v>113</v>
      </c>
    </row>
    <row r="26" ht="12.75">
      <c r="F26" s="64" t="s">
        <v>114</v>
      </c>
    </row>
    <row r="27" spans="3:6" ht="15">
      <c r="C27" s="65"/>
      <c r="F27" s="64" t="s">
        <v>115</v>
      </c>
    </row>
    <row r="28" ht="12.75">
      <c r="F28" s="64" t="s">
        <v>138</v>
      </c>
    </row>
    <row r="29" ht="12">
      <c r="F29" s="95" t="s">
        <v>137</v>
      </c>
    </row>
    <row r="30" ht="12.75">
      <c r="F30" s="63" t="s">
        <v>131</v>
      </c>
    </row>
    <row r="31" ht="12.75">
      <c r="F31" s="64" t="s">
        <v>132</v>
      </c>
    </row>
    <row r="32" spans="5:6" ht="12.75">
      <c r="E32" s="88" t="s">
        <v>133</v>
      </c>
      <c r="F32" s="64"/>
    </row>
    <row r="33" ht="12.75">
      <c r="F33" s="64" t="s">
        <v>134</v>
      </c>
    </row>
    <row r="34" spans="3:6" ht="15">
      <c r="C34" s="65"/>
      <c r="F34" s="64" t="s">
        <v>135</v>
      </c>
    </row>
    <row r="35" ht="12">
      <c r="F35" s="66" t="s">
        <v>136</v>
      </c>
    </row>
    <row r="36" ht="12">
      <c r="F36" s="66"/>
    </row>
  </sheetData>
  <sheetProtection/>
  <mergeCells count="2">
    <mergeCell ref="H13:H18"/>
    <mergeCell ref="I13:I18"/>
  </mergeCells>
  <hyperlinks>
    <hyperlink ref="F29" r:id="rId1" display="kpainter@uidaho.edu"/>
    <hyperlink ref="F35" r:id="rId2" display="rnorell@uidaho.edu"/>
  </hyperlinks>
  <printOptions/>
  <pageMargins left="0.7" right="0.7" top="0.75" bottom="0.75" header="0.3" footer="0.3"/>
  <pageSetup fitToHeight="1" fitToWidth="1" horizontalDpi="600" verticalDpi="600" orientation="portrait" scale="9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3.8515625" style="0" bestFit="1" customWidth="1"/>
    <col min="2" max="2" width="7.140625" style="0" bestFit="1" customWidth="1"/>
    <col min="3" max="3" width="9.7109375" style="0" bestFit="1" customWidth="1"/>
  </cols>
  <sheetData>
    <row r="1" spans="1:4" ht="15">
      <c r="A1" s="98" t="s">
        <v>46</v>
      </c>
      <c r="B1" s="99"/>
      <c r="C1" s="99"/>
      <c r="D1" s="99"/>
    </row>
    <row r="2" spans="1:4" ht="12.75">
      <c r="A2" s="28"/>
      <c r="B2" s="25"/>
      <c r="C2" s="26">
        <v>2014</v>
      </c>
      <c r="D2" s="27"/>
    </row>
    <row r="3" spans="1:4" ht="12.75">
      <c r="A3" s="31" t="s">
        <v>41</v>
      </c>
      <c r="B3" s="10" t="s">
        <v>7</v>
      </c>
      <c r="C3" s="10" t="s">
        <v>42</v>
      </c>
      <c r="D3" s="30"/>
    </row>
    <row r="4" spans="1:4" ht="12.75">
      <c r="A4" s="35"/>
      <c r="B4" s="11"/>
      <c r="C4" s="12"/>
      <c r="D4" s="12"/>
    </row>
    <row r="5" spans="1:4" ht="12.75">
      <c r="A5" s="35" t="s">
        <v>47</v>
      </c>
      <c r="B5" s="11"/>
      <c r="C5" s="12"/>
      <c r="D5" s="12"/>
    </row>
    <row r="6" spans="1:4" ht="12">
      <c r="A6" s="36" t="s">
        <v>52</v>
      </c>
      <c r="B6" s="14" t="s">
        <v>12</v>
      </c>
      <c r="C6" s="13">
        <v>2.25</v>
      </c>
      <c r="D6" s="37"/>
    </row>
    <row r="7" spans="1:4" ht="12">
      <c r="A7" s="36" t="s">
        <v>123</v>
      </c>
      <c r="B7" s="14" t="s">
        <v>12</v>
      </c>
      <c r="C7" s="20">
        <v>11.88</v>
      </c>
      <c r="D7" s="37"/>
    </row>
    <row r="8" spans="1:4" ht="12">
      <c r="A8" s="36" t="s">
        <v>125</v>
      </c>
      <c r="B8" s="14" t="s">
        <v>12</v>
      </c>
      <c r="C8" s="20">
        <v>21.18</v>
      </c>
      <c r="D8" s="37"/>
    </row>
    <row r="9" spans="1:4" ht="12">
      <c r="A9" s="36" t="s">
        <v>56</v>
      </c>
      <c r="B9" s="14" t="s">
        <v>12</v>
      </c>
      <c r="C9" s="20">
        <v>9.26</v>
      </c>
      <c r="D9" s="37"/>
    </row>
    <row r="10" spans="1:4" ht="12">
      <c r="A10" s="36" t="s">
        <v>16</v>
      </c>
      <c r="B10" s="14" t="s">
        <v>12</v>
      </c>
      <c r="C10" s="20">
        <v>11.75</v>
      </c>
      <c r="D10" s="37"/>
    </row>
    <row r="11" spans="1:4" ht="12">
      <c r="A11" s="36"/>
      <c r="B11" s="11"/>
      <c r="C11" s="13"/>
      <c r="D11" s="37"/>
    </row>
    <row r="12" spans="1:4" ht="12.75">
      <c r="A12" s="35" t="s">
        <v>70</v>
      </c>
      <c r="B12" s="11"/>
      <c r="C12" s="13"/>
      <c r="D12" s="37"/>
    </row>
    <row r="13" spans="1:4" ht="12">
      <c r="A13" s="36" t="s">
        <v>72</v>
      </c>
      <c r="B13" s="14" t="s">
        <v>73</v>
      </c>
      <c r="C13" s="13">
        <v>3.5</v>
      </c>
      <c r="D13" s="37"/>
    </row>
    <row r="14" spans="1:4" ht="12">
      <c r="A14" s="36" t="s">
        <v>71</v>
      </c>
      <c r="B14" s="14" t="s">
        <v>73</v>
      </c>
      <c r="C14" s="13">
        <v>3.55</v>
      </c>
      <c r="D14" s="37"/>
    </row>
    <row r="15" spans="1:4" ht="12">
      <c r="A15" s="36"/>
      <c r="B15" s="11"/>
      <c r="C15" s="13"/>
      <c r="D15" s="37"/>
    </row>
    <row r="16" spans="1:4" ht="12.75">
      <c r="A16" s="35" t="s">
        <v>48</v>
      </c>
      <c r="B16" s="14"/>
      <c r="C16" s="13"/>
      <c r="D16" s="37"/>
    </row>
    <row r="17" spans="1:4" ht="12">
      <c r="A17" s="36" t="s">
        <v>67</v>
      </c>
      <c r="B17" s="14" t="s">
        <v>24</v>
      </c>
      <c r="C17" s="13">
        <v>10.54</v>
      </c>
      <c r="D17" s="37"/>
    </row>
    <row r="18" spans="1:4" ht="12">
      <c r="A18" s="36" t="s">
        <v>68</v>
      </c>
      <c r="B18" s="14" t="s">
        <v>24</v>
      </c>
      <c r="C18" s="13">
        <v>11.53</v>
      </c>
      <c r="D18" s="37"/>
    </row>
    <row r="19" spans="1:4" ht="12">
      <c r="A19" s="36" t="s">
        <v>69</v>
      </c>
      <c r="B19" s="14" t="s">
        <v>24</v>
      </c>
      <c r="C19" s="13">
        <v>23.47</v>
      </c>
      <c r="D19" s="37"/>
    </row>
    <row r="20" spans="1:4" ht="12">
      <c r="A20" s="12"/>
      <c r="B20" s="11"/>
      <c r="C20" s="13"/>
      <c r="D20" s="20"/>
    </row>
    <row r="21" spans="1:4" ht="12.75">
      <c r="A21" s="35" t="s">
        <v>44</v>
      </c>
      <c r="B21" s="11"/>
      <c r="C21" s="13"/>
      <c r="D21" s="20"/>
    </row>
    <row r="22" spans="1:4" ht="12">
      <c r="A22" s="36" t="s">
        <v>45</v>
      </c>
      <c r="B22" s="11" t="s">
        <v>43</v>
      </c>
      <c r="C22" s="16">
        <v>0.06</v>
      </c>
      <c r="D22" s="20"/>
    </row>
    <row r="23" spans="1:4" ht="12">
      <c r="A23" s="38" t="s">
        <v>40</v>
      </c>
      <c r="B23" s="15" t="s">
        <v>43</v>
      </c>
      <c r="C23" s="17">
        <v>0.0575</v>
      </c>
      <c r="D23" s="3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zoomScalePageLayoutView="0" workbookViewId="0" topLeftCell="A1">
      <selection activeCell="B3" sqref="B3"/>
    </sheetView>
  </sheetViews>
  <sheetFormatPr defaultColWidth="8.8515625" defaultRowHeight="12.75"/>
  <cols>
    <col min="1" max="1" width="7.57421875" style="49" customWidth="1"/>
    <col min="2" max="2" width="33.421875" style="49" customWidth="1"/>
    <col min="3" max="3" width="5.140625" style="49" customWidth="1"/>
    <col min="4" max="4" width="12.00390625" style="49" customWidth="1"/>
    <col min="5" max="5" width="11.7109375" style="49" customWidth="1"/>
    <col min="6" max="6" width="12.421875" style="49" customWidth="1"/>
    <col min="7" max="7" width="12.00390625" style="49" customWidth="1"/>
    <col min="8" max="8" width="10.57421875" style="49" customWidth="1"/>
    <col min="9" max="9" width="10.8515625" style="49" customWidth="1"/>
    <col min="10" max="16384" width="8.8515625" style="49" customWidth="1"/>
  </cols>
  <sheetData>
    <row r="2" spans="2:6" ht="30" customHeight="1">
      <c r="B2" s="100" t="s">
        <v>140</v>
      </c>
      <c r="C2" s="100"/>
      <c r="D2" s="100"/>
      <c r="E2" s="100"/>
      <c r="F2" s="100"/>
    </row>
    <row r="3" spans="2:9" ht="48" customHeight="1">
      <c r="B3" s="82"/>
      <c r="C3" s="82"/>
      <c r="D3" s="82" t="s">
        <v>83</v>
      </c>
      <c r="E3" s="82" t="s">
        <v>118</v>
      </c>
      <c r="F3" s="82" t="s">
        <v>84</v>
      </c>
      <c r="G3" s="83" t="s">
        <v>83</v>
      </c>
      <c r="H3" s="83" t="s">
        <v>118</v>
      </c>
      <c r="I3" s="83" t="s">
        <v>84</v>
      </c>
    </row>
    <row r="4" spans="2:9" ht="21" customHeight="1">
      <c r="B4" s="55"/>
      <c r="C4" s="55"/>
      <c r="D4" s="56" t="s">
        <v>97</v>
      </c>
      <c r="E4" s="56" t="s">
        <v>97</v>
      </c>
      <c r="F4" s="56" t="s">
        <v>97</v>
      </c>
      <c r="G4" s="68" t="s">
        <v>98</v>
      </c>
      <c r="H4" s="68" t="s">
        <v>98</v>
      </c>
      <c r="I4" s="68" t="s">
        <v>98</v>
      </c>
    </row>
    <row r="5" spans="2:9" ht="15" customHeight="1">
      <c r="B5" s="80" t="s">
        <v>87</v>
      </c>
      <c r="C5" s="81"/>
      <c r="D5" s="70">
        <f>'D1 Open Lots, 210-Head Holstein'!D9</f>
        <v>241.27</v>
      </c>
      <c r="E5" s="70">
        <f>'D2 Free Stall 210-Head Holstein'!D9</f>
        <v>253.33</v>
      </c>
      <c r="F5" s="70">
        <f>'D3 Free Stall, 120-Head Jersey'!D9</f>
        <v>194</v>
      </c>
      <c r="G5" s="77"/>
      <c r="H5" s="78"/>
      <c r="I5" s="78"/>
    </row>
    <row r="6" spans="2:9" ht="15" customHeight="1">
      <c r="B6" s="49" t="s">
        <v>88</v>
      </c>
      <c r="D6" s="71"/>
      <c r="E6" s="71"/>
      <c r="F6" s="71"/>
      <c r="G6" s="79"/>
      <c r="H6" s="12"/>
      <c r="I6" s="12"/>
    </row>
    <row r="7" spans="2:9" ht="15" customHeight="1">
      <c r="B7" s="52" t="s">
        <v>89</v>
      </c>
      <c r="D7" s="72">
        <v>0.032</v>
      </c>
      <c r="E7" s="72">
        <v>0.032</v>
      </c>
      <c r="F7" s="72">
        <v>0.047</v>
      </c>
      <c r="G7" s="69"/>
      <c r="H7" s="69"/>
      <c r="I7" s="69"/>
    </row>
    <row r="8" spans="2:9" ht="15" customHeight="1">
      <c r="B8" s="52" t="s">
        <v>90</v>
      </c>
      <c r="D8" s="72">
        <v>0.029</v>
      </c>
      <c r="E8" s="72">
        <v>0.029</v>
      </c>
      <c r="F8" s="72">
        <v>0.035</v>
      </c>
      <c r="G8" s="69"/>
      <c r="H8" s="69"/>
      <c r="I8" s="69"/>
    </row>
    <row r="9" spans="2:9" ht="15" customHeight="1">
      <c r="B9" s="52" t="s">
        <v>91</v>
      </c>
      <c r="D9" s="72">
        <v>0.087</v>
      </c>
      <c r="E9" s="72">
        <v>0.087</v>
      </c>
      <c r="F9" s="72">
        <v>0.095</v>
      </c>
      <c r="G9" s="69"/>
      <c r="H9" s="69"/>
      <c r="I9" s="69"/>
    </row>
    <row r="10" spans="2:9" ht="15" customHeight="1">
      <c r="B10" s="8" t="s">
        <v>92</v>
      </c>
      <c r="D10" s="73">
        <v>22.45</v>
      </c>
      <c r="E10" s="73">
        <v>22.45</v>
      </c>
      <c r="F10" s="73">
        <v>28.91</v>
      </c>
      <c r="G10" s="69"/>
      <c r="H10" s="69"/>
      <c r="I10" s="69"/>
    </row>
    <row r="11" spans="2:9" ht="15" customHeight="1">
      <c r="B11" s="51" t="s">
        <v>108</v>
      </c>
      <c r="D11" s="74">
        <f>'D1 Open Lots, 210-Head Holstein'!I9</f>
        <v>5416.5115000000005</v>
      </c>
      <c r="E11" s="74">
        <f>'D2 Free Stall 210-Head Holstein'!I9</f>
        <v>5659.3922</v>
      </c>
      <c r="F11" s="74">
        <f>'D3 Free Stall, 120-Head Jersey'!I9</f>
        <v>5608.54</v>
      </c>
      <c r="G11" s="75">
        <f>D11/$D$5</f>
        <v>22.450000000000003</v>
      </c>
      <c r="H11" s="75">
        <f>E11/$E$5</f>
        <v>22.34</v>
      </c>
      <c r="I11" s="75">
        <f>F11/$F$5</f>
        <v>28.91</v>
      </c>
    </row>
    <row r="12" spans="2:9" ht="15" customHeight="1">
      <c r="B12" s="51" t="s">
        <v>107</v>
      </c>
      <c r="D12" s="74">
        <f>SUM('D1 Open Lots, 210-Head Holstein'!I10:I12)</f>
        <v>580.3190476190476</v>
      </c>
      <c r="E12" s="74">
        <f>SUM('D2 Free Stall 210-Head Holstein'!I10:I13)</f>
        <v>606.4047619047619</v>
      </c>
      <c r="F12" s="74">
        <f>SUM('D3 Free Stall, 120-Head Jersey'!I10:I12)</f>
        <v>371.48333333333335</v>
      </c>
      <c r="G12" s="75">
        <f>D12/$D$5</f>
        <v>2.4052681544288457</v>
      </c>
      <c r="H12" s="75">
        <f aca="true" t="shared" si="0" ref="H12:H25">E12/$E$5</f>
        <v>2.3937345040254288</v>
      </c>
      <c r="I12" s="75">
        <f aca="true" t="shared" si="1" ref="I12:I25">F12/$F$5</f>
        <v>1.9148625429553265</v>
      </c>
    </row>
    <row r="13" spans="2:9" ht="15" customHeight="1">
      <c r="B13" s="57" t="s">
        <v>119</v>
      </c>
      <c r="C13" s="57"/>
      <c r="D13" s="84">
        <f>+D12+D11</f>
        <v>5996.830547619048</v>
      </c>
      <c r="E13" s="84">
        <f>+E12+E11</f>
        <v>6265.796961904762</v>
      </c>
      <c r="F13" s="84">
        <f>+F12+F11</f>
        <v>5980.0233333333335</v>
      </c>
      <c r="G13" s="85">
        <f>D13/$D$5</f>
        <v>24.855268154428845</v>
      </c>
      <c r="H13" s="85">
        <f>E13/$E$5</f>
        <v>24.733734504025428</v>
      </c>
      <c r="I13" s="85">
        <f>F13/$F$5</f>
        <v>30.824862542955326</v>
      </c>
    </row>
    <row r="14" spans="2:9" ht="15" customHeight="1">
      <c r="B14" s="51" t="s">
        <v>93</v>
      </c>
      <c r="D14" s="74">
        <f>SUM('D1 Open Lots, 210-Head Holstein'!I16:I20)</f>
        <v>2098.4662285714285</v>
      </c>
      <c r="E14" s="74">
        <f>SUM('D2 Free Stall 210-Head Holstein'!I17:I21)</f>
        <v>2160.785314285714</v>
      </c>
      <c r="F14" s="74">
        <f>SUM('D3 Free Stall, 120-Head Jersey'!I16:I20)</f>
        <v>1911.85247</v>
      </c>
      <c r="G14" s="75">
        <f aca="true" t="shared" si="2" ref="G14:G25">D14/$D$5</f>
        <v>8.697584567378573</v>
      </c>
      <c r="H14" s="75">
        <f t="shared" si="0"/>
        <v>8.529527944916566</v>
      </c>
      <c r="I14" s="75">
        <f t="shared" si="1"/>
        <v>9.854909639175258</v>
      </c>
    </row>
    <row r="15" spans="2:9" ht="15" customHeight="1">
      <c r="B15" s="51" t="s">
        <v>94</v>
      </c>
      <c r="D15" s="74">
        <f>'D1 Open Lots, 210-Head Holstein'!I32</f>
        <v>181.09</v>
      </c>
      <c r="E15" s="74">
        <f>'D2 Free Stall 210-Head Holstein'!I32</f>
        <v>181.09</v>
      </c>
      <c r="F15" s="74">
        <f>'D3 Free Stall, 120-Head Jersey'!I34</f>
        <v>156.47</v>
      </c>
      <c r="G15" s="75">
        <f t="shared" si="2"/>
        <v>0.7505699009408546</v>
      </c>
      <c r="H15" s="75">
        <f t="shared" si="0"/>
        <v>0.7148383531362255</v>
      </c>
      <c r="I15" s="75">
        <f t="shared" si="1"/>
        <v>0.8065463917525774</v>
      </c>
    </row>
    <row r="16" spans="2:9" ht="15" customHeight="1">
      <c r="B16" s="51" t="s">
        <v>127</v>
      </c>
      <c r="D16" s="74">
        <f>SUM('D1 Open Lots, 210-Head Holstein'!I38:I39)</f>
        <v>585.6845714285714</v>
      </c>
      <c r="E16" s="74">
        <f>SUM('D2 Free Stall 210-Head Holstein'!I37:I38)</f>
        <v>462.312</v>
      </c>
      <c r="F16" s="74">
        <f>'D3 Free Stall, 120-Head Jersey'!I39+'D3 Free Stall, 120-Head Jersey'!I40</f>
        <v>624.768</v>
      </c>
      <c r="G16" s="75">
        <f t="shared" si="2"/>
        <v>2.427506824008668</v>
      </c>
      <c r="H16" s="75">
        <f t="shared" si="0"/>
        <v>1.8249398018394978</v>
      </c>
      <c r="I16" s="75">
        <f t="shared" si="1"/>
        <v>3.2204536082474227</v>
      </c>
    </row>
    <row r="17" spans="2:9" ht="15" customHeight="1">
      <c r="B17" s="51" t="s">
        <v>96</v>
      </c>
      <c r="D17" s="74">
        <f>'D1 Open Lots, 210-Head Holstein'!I29</f>
        <v>94</v>
      </c>
      <c r="E17" s="74">
        <f>'D2 Free Stall 210-Head Holstein'!I39</f>
        <v>100</v>
      </c>
      <c r="F17" s="74">
        <f>'D3 Free Stall, 120-Head Jersey'!I30</f>
        <v>94</v>
      </c>
      <c r="G17" s="75">
        <f t="shared" si="2"/>
        <v>0.3896050068388113</v>
      </c>
      <c r="H17" s="75">
        <f t="shared" si="0"/>
        <v>0.3947420360794221</v>
      </c>
      <c r="I17" s="75">
        <f t="shared" si="1"/>
        <v>0.4845360824742268</v>
      </c>
    </row>
    <row r="18" spans="2:9" ht="15" customHeight="1">
      <c r="B18" s="51" t="s">
        <v>99</v>
      </c>
      <c r="D18" s="74">
        <f>SUM('D1 Open Lots, 210-Head Holstein'!I22,'D1 Open Lots, 210-Head Holstein'!I23,'D1 Open Lots, 210-Head Holstein'!I24,'D1 Open Lots, 210-Head Holstein'!I25,'D1 Open Lots, 210-Head Holstein'!I26,'D1 Open Lots, 210-Head Holstein'!I27,'D1 Open Lots, 210-Head Holstein'!I28,'D1 Open Lots, 210-Head Holstein'!I30,'D1 Open Lots, 210-Head Holstein'!I31,'D1 Open Lots, 210-Head Holstein'!I33,'D1 Open Lots, 210-Head Holstein'!I34,'D1 Open Lots, 210-Head Holstein'!I35,'D1 Open Lots, 210-Head Holstein'!I36,'D1 Open Lots, 210-Head Holstein'!I37)</f>
        <v>1290.3571904761902</v>
      </c>
      <c r="E18" s="74">
        <f>SUM('D2 Free Stall 210-Head Holstein'!I22,'D2 Free Stall 210-Head Holstein'!I23,'D2 Free Stall 210-Head Holstein'!I24,'D2 Free Stall 210-Head Holstein'!I25,'D2 Free Stall 210-Head Holstein'!I26,'D2 Free Stall 210-Head Holstein'!I27,'D2 Free Stall 210-Head Holstein'!I28,'D2 Free Stall 210-Head Holstein'!I29,'D2 Free Stall 210-Head Holstein'!I30,'D2 Free Stall 210-Head Holstein'!I31,'D2 Free Stall 210-Head Holstein'!I33,'D2 Free Stall 210-Head Holstein'!I34,'D2 Free Stall 210-Head Holstein'!I35,'D2 Free Stall 210-Head Holstein'!I36)</f>
        <v>1267.413619047619</v>
      </c>
      <c r="F18" s="74">
        <f>SUM('D3 Free Stall, 120-Head Jersey'!I21,'D3 Free Stall, 120-Head Jersey'!I22,'D3 Free Stall, 120-Head Jersey'!I23,'D3 Free Stall, 120-Head Jersey'!I24,'D3 Free Stall, 120-Head Jersey'!I25,'D3 Free Stall, 120-Head Jersey'!I26,'D3 Free Stall, 120-Head Jersey'!I27,'D3 Free Stall, 120-Head Jersey'!I28,'D3 Free Stall, 120-Head Jersey'!I29,'D3 Free Stall, 120-Head Jersey'!I31,'D3 Free Stall, 120-Head Jersey'!I32,'D3 Free Stall, 120-Head Jersey'!I33,'D3 Free Stall, 120-Head Jersey'!I35,'D3 Free Stall, 120-Head Jersey'!I36,'D3 Free Stall, 120-Head Jersey'!I37,'D3 Free Stall, 120-Head Jersey'!I38)</f>
        <v>1330.3325833333333</v>
      </c>
      <c r="G18" s="75">
        <f t="shared" si="2"/>
        <v>5.348187468297717</v>
      </c>
      <c r="H18" s="75">
        <f t="shared" si="0"/>
        <v>5.003014325376461</v>
      </c>
      <c r="I18" s="75">
        <f t="shared" si="1"/>
        <v>6.857384450171821</v>
      </c>
    </row>
    <row r="19" spans="2:12" ht="15" customHeight="1">
      <c r="B19" s="51" t="s">
        <v>100</v>
      </c>
      <c r="D19" s="74">
        <f>SUM(D14:D18)</f>
        <v>4249.59799047619</v>
      </c>
      <c r="E19" s="74">
        <f>SUM(E14:E18)</f>
        <v>4171.600933333333</v>
      </c>
      <c r="F19" s="74">
        <f>SUM(F14:F18)</f>
        <v>4117.423053333334</v>
      </c>
      <c r="G19" s="75">
        <f t="shared" si="2"/>
        <v>17.613453767464623</v>
      </c>
      <c r="H19" s="75">
        <f t="shared" si="0"/>
        <v>16.467062461348174</v>
      </c>
      <c r="I19" s="75">
        <f t="shared" si="1"/>
        <v>21.22383017182131</v>
      </c>
      <c r="L19" s="94">
        <f>4136.6-F19</f>
        <v>19.17694666666648</v>
      </c>
    </row>
    <row r="20" spans="2:9" ht="15" customHeight="1">
      <c r="B20" s="57" t="s">
        <v>105</v>
      </c>
      <c r="D20" s="86">
        <f>D11+D12-D19</f>
        <v>1747.2325571428582</v>
      </c>
      <c r="E20" s="86">
        <f>E12+E11-E19</f>
        <v>2094.1960285714285</v>
      </c>
      <c r="F20" s="86">
        <f>F11+F12-F19</f>
        <v>1862.6002799999997</v>
      </c>
      <c r="G20" s="87">
        <f t="shared" si="2"/>
        <v>7.241814386964223</v>
      </c>
      <c r="H20" s="87">
        <f t="shared" si="0"/>
        <v>8.266672042677254</v>
      </c>
      <c r="I20" s="87">
        <f t="shared" si="1"/>
        <v>9.60103237113402</v>
      </c>
    </row>
    <row r="21" spans="2:9" ht="15" customHeight="1">
      <c r="B21" s="51" t="s">
        <v>101</v>
      </c>
      <c r="D21" s="73">
        <f>SUM('D1 Open Lots, 210-Head Holstein'!I46:I50)</f>
        <v>291.03109523809525</v>
      </c>
      <c r="E21" s="73">
        <f>SUM('D2 Free Stall 210-Head Holstein'!I46:I50)</f>
        <v>382.3134285714286</v>
      </c>
      <c r="F21" s="73">
        <f>SUM('D3 Free Stall, 120-Head Jersey'!I48:I51)</f>
        <v>459.1098333333333</v>
      </c>
      <c r="G21" s="76">
        <f t="shared" si="2"/>
        <v>1.2062465090483494</v>
      </c>
      <c r="H21" s="76">
        <f t="shared" si="0"/>
        <v>1.5091518121479042</v>
      </c>
      <c r="I21" s="76">
        <f t="shared" si="1"/>
        <v>2.366545532646048</v>
      </c>
    </row>
    <row r="22" spans="2:9" ht="15" customHeight="1">
      <c r="B22" s="51" t="s">
        <v>102</v>
      </c>
      <c r="D22" s="73">
        <f>SUM('D1 Open Lots, 210-Head Holstein'!I51:I53)</f>
        <v>206.99405952380954</v>
      </c>
      <c r="E22" s="73">
        <f>SUM('D2 Free Stall 210-Head Holstein'!I51:I53)</f>
        <v>194.1029166666667</v>
      </c>
      <c r="F22" s="73">
        <f>'D3 Free Stall, 120-Head Jersey'!I52+'D3 Free Stall, 120-Head Jersey'!I53+'D3 Free Stall, 120-Head Jersey'!I54</f>
        <v>169.60675</v>
      </c>
      <c r="G22" s="76">
        <f t="shared" si="2"/>
        <v>0.8579353401741183</v>
      </c>
      <c r="H22" s="76">
        <f t="shared" si="0"/>
        <v>0.766205805339544</v>
      </c>
      <c r="I22" s="76">
        <f t="shared" si="1"/>
        <v>0.8742615979381444</v>
      </c>
    </row>
    <row r="23" spans="2:9" ht="15" customHeight="1">
      <c r="B23" s="51" t="s">
        <v>103</v>
      </c>
      <c r="D23" s="73">
        <f>D21+D22</f>
        <v>498.0251547619048</v>
      </c>
      <c r="E23" s="73">
        <f>SUM(E21:E22)</f>
        <v>576.4163452380952</v>
      </c>
      <c r="F23" s="73">
        <f>F21+F22</f>
        <v>628.7165833333333</v>
      </c>
      <c r="G23" s="76">
        <f t="shared" si="2"/>
        <v>2.0641818492224675</v>
      </c>
      <c r="H23" s="76">
        <f t="shared" si="0"/>
        <v>2.275357617487448</v>
      </c>
      <c r="I23" s="76">
        <f t="shared" si="1"/>
        <v>3.2408071305841926</v>
      </c>
    </row>
    <row r="24" spans="2:9" ht="15" customHeight="1">
      <c r="B24" s="51" t="s">
        <v>104</v>
      </c>
      <c r="D24" s="73">
        <f>D19+D23</f>
        <v>4747.623145238094</v>
      </c>
      <c r="E24" s="73">
        <f>E19+E23</f>
        <v>4748.0172785714285</v>
      </c>
      <c r="F24" s="73">
        <f>F19+F23</f>
        <v>4746.139636666667</v>
      </c>
      <c r="G24" s="76">
        <f t="shared" si="2"/>
        <v>19.67763561668709</v>
      </c>
      <c r="H24" s="76">
        <f t="shared" si="0"/>
        <v>18.74242007883562</v>
      </c>
      <c r="I24" s="76">
        <f t="shared" si="1"/>
        <v>24.4646373024055</v>
      </c>
    </row>
    <row r="25" spans="2:9" ht="15" customHeight="1">
      <c r="B25" s="58" t="s">
        <v>106</v>
      </c>
      <c r="C25" s="59"/>
      <c r="D25" s="86">
        <f>D11+D12-D24</f>
        <v>1249.2074023809537</v>
      </c>
      <c r="E25" s="86">
        <f>E11+E12-E24</f>
        <v>1517.7796833333332</v>
      </c>
      <c r="F25" s="86">
        <f>F11+F12-F24</f>
        <v>1233.8836966666668</v>
      </c>
      <c r="G25" s="87">
        <f t="shared" si="2"/>
        <v>5.177632537741757</v>
      </c>
      <c r="H25" s="87">
        <f t="shared" si="0"/>
        <v>5.991314425189804</v>
      </c>
      <c r="I25" s="87">
        <f t="shared" si="1"/>
        <v>6.360225240549829</v>
      </c>
    </row>
    <row r="27" ht="14.25">
      <c r="B27" s="8" t="s">
        <v>109</v>
      </c>
    </row>
    <row r="28" spans="2:4" ht="12">
      <c r="B28" s="51" t="s">
        <v>128</v>
      </c>
      <c r="D28" s="53"/>
    </row>
    <row r="29" spans="2:4" ht="12">
      <c r="B29" s="53"/>
      <c r="D29" s="54"/>
    </row>
    <row r="30" spans="2:4" ht="12">
      <c r="B30" s="53"/>
      <c r="D30" s="54"/>
    </row>
    <row r="31" spans="2:4" ht="12">
      <c r="B31" s="53"/>
      <c r="D31" s="54"/>
    </row>
  </sheetData>
  <sheetProtection/>
  <mergeCells count="1">
    <mergeCell ref="B2:F2"/>
  </mergeCells>
  <hyperlinks>
    <hyperlink ref="D3" location="'D1 Open Lots, 210-Head Holstein'!A1" display="210-Head, Open Lots, Holstein"/>
    <hyperlink ref="E3" location="'D2 Free Stall 210-Head Holstein'!A1" display="210-Head, Open Lots, Holstein"/>
    <hyperlink ref="F3" location="'D3 Free Stall, 120-Head Jersey'!A1" display="210-Head, Open Lots, Holstein"/>
    <hyperlink ref="G3" location="'D1 Open Lots, 210-Head Holstein'!A1" display="210-Head, Open Lots, Holstein"/>
    <hyperlink ref="H3" location="'D2 Free Stall 210-Head Holstein'!A1" display="210-Head, Free Stall, Holstein"/>
    <hyperlink ref="I3" location="'D3 Free Stall, 120-Head Jersey'!A1" display="210-Head, Open Lots, Holstein"/>
  </hyperlinks>
  <printOptions/>
  <pageMargins left="0.7" right="0.7" top="0.75" bottom="0.75" header="0.3" footer="0.3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zoomScale="80" zoomScaleNormal="80" zoomScalePageLayoutView="0" workbookViewId="0" topLeftCell="A1">
      <selection activeCell="O41" sqref="O41"/>
    </sheetView>
  </sheetViews>
  <sheetFormatPr defaultColWidth="8.8515625" defaultRowHeight="12.75"/>
  <cols>
    <col min="1" max="1" width="7.57421875" style="49" customWidth="1"/>
    <col min="2" max="2" width="37.8515625" style="49" customWidth="1"/>
    <col min="3" max="3" width="5.140625" style="49" customWidth="1"/>
    <col min="4" max="4" width="12.00390625" style="49" customWidth="1"/>
    <col min="5" max="5" width="11.7109375" style="49" customWidth="1"/>
    <col min="6" max="6" width="12.140625" style="49" customWidth="1"/>
    <col min="7" max="7" width="12.00390625" style="49" customWidth="1"/>
    <col min="8" max="8" width="10.57421875" style="49" customWidth="1"/>
    <col min="9" max="9" width="10.8515625" style="49" customWidth="1"/>
    <col min="10" max="16384" width="8.8515625" style="49" customWidth="1"/>
  </cols>
  <sheetData>
    <row r="2" spans="2:6" ht="30" customHeight="1">
      <c r="B2" s="100" t="s">
        <v>129</v>
      </c>
      <c r="C2" s="100"/>
      <c r="D2" s="100"/>
      <c r="E2" s="100"/>
      <c r="F2" s="100"/>
    </row>
    <row r="3" spans="2:9" ht="48" customHeight="1" hidden="1">
      <c r="B3" s="82"/>
      <c r="C3" s="82"/>
      <c r="D3" s="82" t="s">
        <v>83</v>
      </c>
      <c r="E3" s="82" t="s">
        <v>118</v>
      </c>
      <c r="F3" s="82" t="s">
        <v>84</v>
      </c>
      <c r="G3" s="83" t="s">
        <v>83</v>
      </c>
      <c r="H3" s="82" t="s">
        <v>118</v>
      </c>
      <c r="I3" s="83" t="s">
        <v>84</v>
      </c>
    </row>
    <row r="4" spans="2:9" ht="21" customHeight="1" hidden="1">
      <c r="B4" s="55"/>
      <c r="C4" s="55"/>
      <c r="D4" s="56" t="s">
        <v>97</v>
      </c>
      <c r="E4" s="56" t="s">
        <v>97</v>
      </c>
      <c r="F4" s="56" t="s">
        <v>97</v>
      </c>
      <c r="G4" s="68" t="s">
        <v>98</v>
      </c>
      <c r="H4" s="68" t="s">
        <v>98</v>
      </c>
      <c r="I4" s="68" t="s">
        <v>98</v>
      </c>
    </row>
    <row r="5" spans="2:9" ht="15" customHeight="1" hidden="1">
      <c r="B5" s="80" t="s">
        <v>87</v>
      </c>
      <c r="C5" s="81"/>
      <c r="D5" s="70">
        <v>233.76</v>
      </c>
      <c r="E5" s="70">
        <v>233.76</v>
      </c>
      <c r="F5" s="70">
        <v>188</v>
      </c>
      <c r="G5" s="77"/>
      <c r="H5" s="78"/>
      <c r="I5" s="78"/>
    </row>
    <row r="6" spans="2:9" ht="15" customHeight="1" hidden="1">
      <c r="B6" s="49" t="s">
        <v>88</v>
      </c>
      <c r="D6" s="71"/>
      <c r="E6" s="71"/>
      <c r="F6" s="71"/>
      <c r="G6" s="79"/>
      <c r="H6" s="12"/>
      <c r="I6" s="12"/>
    </row>
    <row r="7" spans="2:9" ht="15" customHeight="1" hidden="1">
      <c r="B7" s="52" t="s">
        <v>89</v>
      </c>
      <c r="D7" s="72">
        <v>0.032</v>
      </c>
      <c r="E7" s="72">
        <v>0.032</v>
      </c>
      <c r="F7" s="72">
        <v>0.047</v>
      </c>
      <c r="G7" s="69"/>
      <c r="H7" s="69"/>
      <c r="I7" s="69"/>
    </row>
    <row r="8" spans="2:9" ht="15" customHeight="1" hidden="1">
      <c r="B8" s="52" t="s">
        <v>90</v>
      </c>
      <c r="D8" s="72">
        <v>0.029</v>
      </c>
      <c r="E8" s="72">
        <v>0.029</v>
      </c>
      <c r="F8" s="72">
        <v>0.035</v>
      </c>
      <c r="G8" s="69"/>
      <c r="H8" s="69"/>
      <c r="I8" s="69"/>
    </row>
    <row r="9" spans="2:9" ht="15" customHeight="1" hidden="1">
      <c r="B9" s="52" t="s">
        <v>91</v>
      </c>
      <c r="D9" s="72">
        <v>0.087</v>
      </c>
      <c r="E9" s="72">
        <v>0.087</v>
      </c>
      <c r="F9" s="72">
        <v>0.095</v>
      </c>
      <c r="G9" s="69"/>
      <c r="H9" s="69"/>
      <c r="I9" s="69"/>
    </row>
    <row r="10" spans="2:9" ht="15" customHeight="1" hidden="1">
      <c r="B10" s="8" t="s">
        <v>120</v>
      </c>
      <c r="D10" s="73">
        <v>17.95926606060606</v>
      </c>
      <c r="E10" s="73">
        <v>17.95926606060606</v>
      </c>
      <c r="F10" s="73">
        <v>22.714069924242423</v>
      </c>
      <c r="G10" s="69"/>
      <c r="H10" s="69"/>
      <c r="I10" s="69"/>
    </row>
    <row r="11" spans="2:9" ht="15" customHeight="1" hidden="1">
      <c r="B11" s="51" t="s">
        <v>108</v>
      </c>
      <c r="D11" s="74">
        <v>3512.4109714285714</v>
      </c>
      <c r="E11" s="74">
        <v>3512.4109714285714</v>
      </c>
      <c r="F11" s="74">
        <v>3557.9</v>
      </c>
      <c r="G11" s="75">
        <v>15.025714285714287</v>
      </c>
      <c r="H11" s="75">
        <v>15.025714285714287</v>
      </c>
      <c r="I11" s="75">
        <v>18.925</v>
      </c>
    </row>
    <row r="12" spans="2:9" ht="15" customHeight="1" hidden="1">
      <c r="B12" s="51" t="s">
        <v>107</v>
      </c>
      <c r="D12" s="74">
        <v>376.8400476190476</v>
      </c>
      <c r="E12" s="74">
        <v>376.8400476190476</v>
      </c>
      <c r="F12" s="74">
        <v>382.9059</v>
      </c>
      <c r="G12" s="75">
        <v>1.6120809703073562</v>
      </c>
      <c r="H12" s="75">
        <v>1.6120809703073562</v>
      </c>
      <c r="I12" s="75">
        <v>2.0367335106382978</v>
      </c>
    </row>
    <row r="13" spans="2:9" ht="15" customHeight="1" hidden="1">
      <c r="B13" s="57" t="s">
        <v>119</v>
      </c>
      <c r="C13" s="57"/>
      <c r="D13" s="84">
        <v>3889.251019047619</v>
      </c>
      <c r="E13" s="84">
        <v>3889.251019047619</v>
      </c>
      <c r="F13" s="84">
        <v>3940.8059000000003</v>
      </c>
      <c r="G13" s="85">
        <v>16.637795256021644</v>
      </c>
      <c r="H13" s="85">
        <v>16.637795256021644</v>
      </c>
      <c r="I13" s="85">
        <v>20.9617335106383</v>
      </c>
    </row>
    <row r="14" spans="2:9" ht="15" customHeight="1" hidden="1">
      <c r="B14" s="51" t="s">
        <v>93</v>
      </c>
      <c r="D14" s="74">
        <v>2512.035</v>
      </c>
      <c r="E14" s="74">
        <v>2512.08</v>
      </c>
      <c r="F14" s="74">
        <v>1857.7875000000001</v>
      </c>
      <c r="G14" s="75">
        <v>10.746214065708418</v>
      </c>
      <c r="H14" s="75">
        <v>10.74640657084189</v>
      </c>
      <c r="I14" s="75">
        <v>9.88184840425532</v>
      </c>
    </row>
    <row r="15" spans="2:9" ht="15" customHeight="1" hidden="1">
      <c r="B15" s="51" t="s">
        <v>94</v>
      </c>
      <c r="D15" s="74">
        <v>60.83</v>
      </c>
      <c r="E15" s="74">
        <v>60.83</v>
      </c>
      <c r="F15" s="74">
        <v>60.830000000000005</v>
      </c>
      <c r="G15" s="75">
        <v>0.26022416153319644</v>
      </c>
      <c r="H15" s="75">
        <v>0.26022416153319644</v>
      </c>
      <c r="I15" s="75">
        <v>0.3235638297872341</v>
      </c>
    </row>
    <row r="16" spans="2:9" ht="15" customHeight="1" hidden="1">
      <c r="B16" s="51" t="s">
        <v>95</v>
      </c>
      <c r="D16" s="74">
        <v>354.1942857142857</v>
      </c>
      <c r="E16" s="74">
        <v>420.7129523809524</v>
      </c>
      <c r="F16" s="74">
        <v>325.75354</v>
      </c>
      <c r="G16" s="75">
        <v>1.5152048499071085</v>
      </c>
      <c r="H16" s="75">
        <v>1.799764512238845</v>
      </c>
      <c r="I16" s="75">
        <v>1.7327315957446807</v>
      </c>
    </row>
    <row r="17" spans="2:9" ht="15" customHeight="1" hidden="1">
      <c r="B17" s="51" t="s">
        <v>96</v>
      </c>
      <c r="D17" s="74">
        <v>39.07</v>
      </c>
      <c r="E17" s="74">
        <v>40.6</v>
      </c>
      <c r="F17" s="74">
        <v>32.26</v>
      </c>
      <c r="G17" s="75">
        <v>0.167137234770705</v>
      </c>
      <c r="H17" s="75">
        <v>0.1736824093086927</v>
      </c>
      <c r="I17" s="75">
        <v>0.17159574468085106</v>
      </c>
    </row>
    <row r="18" spans="2:9" ht="15" customHeight="1" hidden="1">
      <c r="B18" s="51" t="s">
        <v>99</v>
      </c>
      <c r="D18" s="74">
        <v>979.5840952380953</v>
      </c>
      <c r="E18" s="74">
        <v>1045.2995714285714</v>
      </c>
      <c r="F18" s="74">
        <v>981.9700833333334</v>
      </c>
      <c r="G18" s="75">
        <v>4.1905548222026665</v>
      </c>
      <c r="H18" s="75">
        <v>4.471678522538379</v>
      </c>
      <c r="I18" s="75">
        <v>5.223245124113475</v>
      </c>
    </row>
    <row r="19" spans="2:9" ht="15" customHeight="1" hidden="1">
      <c r="B19" s="51" t="s">
        <v>100</v>
      </c>
      <c r="D19" s="74">
        <v>3945.713380952381</v>
      </c>
      <c r="E19" s="74">
        <v>4079.5225238095236</v>
      </c>
      <c r="F19" s="74">
        <v>3258.601123333334</v>
      </c>
      <c r="G19" s="75">
        <v>16.879335134122098</v>
      </c>
      <c r="H19" s="75">
        <v>17.451756176461</v>
      </c>
      <c r="I19" s="75">
        <v>17.332984698581562</v>
      </c>
    </row>
    <row r="20" spans="2:9" ht="15" customHeight="1" hidden="1">
      <c r="B20" s="57" t="s">
        <v>105</v>
      </c>
      <c r="D20" s="86">
        <v>-56.46236190476202</v>
      </c>
      <c r="E20" s="86">
        <v>-190.27150476190445</v>
      </c>
      <c r="F20" s="86">
        <v>682.2047766666665</v>
      </c>
      <c r="G20" s="87">
        <v>-0.24153987810045355</v>
      </c>
      <c r="H20" s="87">
        <v>-0.8139609204393585</v>
      </c>
      <c r="I20" s="87">
        <v>3.6287488120567364</v>
      </c>
    </row>
    <row r="21" spans="2:9" ht="15" customHeight="1" hidden="1">
      <c r="B21" s="51" t="s">
        <v>101</v>
      </c>
      <c r="D21" s="73">
        <v>213.8213333333333</v>
      </c>
      <c r="E21" s="73">
        <v>315.4938571428571</v>
      </c>
      <c r="F21" s="73">
        <v>376.99775</v>
      </c>
      <c r="G21" s="76">
        <v>0.914704540269222</v>
      </c>
      <c r="H21" s="76">
        <v>1.3496486017404907</v>
      </c>
      <c r="I21" s="76">
        <v>2.0053071808510636</v>
      </c>
    </row>
    <row r="22" spans="2:9" ht="15" customHeight="1" hidden="1">
      <c r="B22" s="51" t="s">
        <v>102</v>
      </c>
      <c r="D22" s="73">
        <v>173.39828571428572</v>
      </c>
      <c r="E22" s="73">
        <v>167.29166666666669</v>
      </c>
      <c r="F22" s="73">
        <v>127.47841666666667</v>
      </c>
      <c r="G22" s="76">
        <v>0.7417791141097096</v>
      </c>
      <c r="H22" s="76">
        <v>0.7156556582249601</v>
      </c>
      <c r="I22" s="76">
        <v>0.6780766843971632</v>
      </c>
    </row>
    <row r="23" spans="2:9" ht="15" customHeight="1" hidden="1">
      <c r="B23" s="51" t="s">
        <v>103</v>
      </c>
      <c r="D23" s="73">
        <v>387.21961904761906</v>
      </c>
      <c r="E23" s="73">
        <v>482.7855238095238</v>
      </c>
      <c r="F23" s="73">
        <v>504.4761666666667</v>
      </c>
      <c r="G23" s="76">
        <v>1.6564836543789316</v>
      </c>
      <c r="H23" s="76">
        <v>2.0653042599654508</v>
      </c>
      <c r="I23" s="76">
        <v>2.683383865248227</v>
      </c>
    </row>
    <row r="24" spans="2:9" ht="15" customHeight="1" hidden="1">
      <c r="B24" s="51" t="s">
        <v>104</v>
      </c>
      <c r="D24" s="73">
        <v>4332.933</v>
      </c>
      <c r="E24" s="73">
        <v>4562.308047619047</v>
      </c>
      <c r="F24" s="73">
        <v>3763.0772900000006</v>
      </c>
      <c r="G24" s="76">
        <v>18.53581878850103</v>
      </c>
      <c r="H24" s="76">
        <v>19.51706043642645</v>
      </c>
      <c r="I24" s="76">
        <v>20.01636856382979</v>
      </c>
    </row>
    <row r="25" spans="2:9" ht="15" customHeight="1" hidden="1">
      <c r="B25" s="58" t="s">
        <v>106</v>
      </c>
      <c r="C25" s="59"/>
      <c r="D25" s="86">
        <v>-443.68198095238085</v>
      </c>
      <c r="E25" s="86">
        <v>-673.057028571428</v>
      </c>
      <c r="F25" s="86">
        <v>177.72860999999966</v>
      </c>
      <c r="G25" s="87">
        <v>-1.8980235324793844</v>
      </c>
      <c r="H25" s="87">
        <v>-2.879265180404808</v>
      </c>
      <c r="I25" s="87">
        <v>0.9453649468085088</v>
      </c>
    </row>
    <row r="26" ht="12" hidden="1"/>
    <row r="27" ht="12" hidden="1">
      <c r="B27" s="8" t="s">
        <v>121</v>
      </c>
    </row>
    <row r="28" spans="2:4" ht="12" hidden="1">
      <c r="B28" s="51" t="s">
        <v>110</v>
      </c>
      <c r="D28" s="53"/>
    </row>
    <row r="29" spans="2:4" ht="12">
      <c r="B29" s="53"/>
      <c r="D29" s="54"/>
    </row>
    <row r="30" spans="2:6" ht="37.5">
      <c r="B30" s="53"/>
      <c r="D30" s="83" t="s">
        <v>83</v>
      </c>
      <c r="E30" s="83" t="s">
        <v>118</v>
      </c>
      <c r="F30" s="83" t="s">
        <v>84</v>
      </c>
    </row>
    <row r="31" spans="2:6" ht="12">
      <c r="B31" s="51" t="s">
        <v>108</v>
      </c>
      <c r="D31" s="75">
        <f>Summary!G11</f>
        <v>22.450000000000003</v>
      </c>
      <c r="E31" s="75">
        <f>Summary!H11</f>
        <v>22.34</v>
      </c>
      <c r="F31" s="75">
        <f>Summary!I11</f>
        <v>28.91</v>
      </c>
    </row>
    <row r="32" spans="2:6" ht="12.75">
      <c r="B32" s="57" t="s">
        <v>119</v>
      </c>
      <c r="D32" s="85">
        <f>Summary!G13</f>
        <v>24.855268154428845</v>
      </c>
      <c r="E32" s="85">
        <f>Summary!H13</f>
        <v>24.733734504025428</v>
      </c>
      <c r="F32" s="85">
        <f>Summary!I13</f>
        <v>30.824862542955326</v>
      </c>
    </row>
    <row r="33" spans="2:6" ht="12">
      <c r="B33" s="51" t="s">
        <v>93</v>
      </c>
      <c r="D33" s="75">
        <f>Summary!G14</f>
        <v>8.697584567378573</v>
      </c>
      <c r="E33" s="75">
        <f>Summary!H14</f>
        <v>8.529527944916566</v>
      </c>
      <c r="F33" s="75">
        <f>Summary!I14</f>
        <v>9.854909639175258</v>
      </c>
    </row>
    <row r="34" spans="2:6" ht="12">
      <c r="B34" s="51" t="s">
        <v>94</v>
      </c>
      <c r="D34" s="75">
        <f>Summary!G15</f>
        <v>0.7505699009408546</v>
      </c>
      <c r="E34" s="75">
        <f>Summary!H15</f>
        <v>0.7148383531362255</v>
      </c>
      <c r="F34" s="75">
        <f>Summary!I15</f>
        <v>0.8065463917525774</v>
      </c>
    </row>
    <row r="35" spans="2:6" ht="12">
      <c r="B35" s="51" t="s">
        <v>95</v>
      </c>
      <c r="D35" s="75">
        <f>Summary!G16</f>
        <v>2.427506824008668</v>
      </c>
      <c r="E35" s="75">
        <f>Summary!H16</f>
        <v>1.8249398018394978</v>
      </c>
      <c r="F35" s="75">
        <f>Summary!I16</f>
        <v>3.2204536082474227</v>
      </c>
    </row>
    <row r="36" spans="2:6" ht="12">
      <c r="B36" s="51" t="s">
        <v>100</v>
      </c>
      <c r="D36" s="75">
        <f>Summary!G17</f>
        <v>0.3896050068388113</v>
      </c>
      <c r="E36" s="75">
        <f>Summary!H17</f>
        <v>0.3947420360794221</v>
      </c>
      <c r="F36" s="75">
        <f>Summary!I17</f>
        <v>0.4845360824742268</v>
      </c>
    </row>
    <row r="37" spans="2:6" ht="12.75">
      <c r="B37" s="57" t="s">
        <v>105</v>
      </c>
      <c r="D37" s="75">
        <f>Summary!G18</f>
        <v>5.348187468297717</v>
      </c>
      <c r="E37" s="75">
        <f>Summary!H18</f>
        <v>5.003014325376461</v>
      </c>
      <c r="F37" s="75">
        <f>Summary!I18</f>
        <v>6.857384450171821</v>
      </c>
    </row>
    <row r="38" spans="2:6" ht="12">
      <c r="B38" s="51" t="s">
        <v>101</v>
      </c>
      <c r="D38" s="75">
        <f>Summary!G19</f>
        <v>17.613453767464623</v>
      </c>
      <c r="E38" s="75">
        <f>Summary!H19</f>
        <v>16.467062461348174</v>
      </c>
      <c r="F38" s="75">
        <f>Summary!I19</f>
        <v>21.22383017182131</v>
      </c>
    </row>
    <row r="39" spans="2:6" ht="12">
      <c r="B39" s="51" t="s">
        <v>103</v>
      </c>
      <c r="D39" s="75">
        <f>Summary!G20</f>
        <v>7.241814386964223</v>
      </c>
      <c r="E39" s="75">
        <f>Summary!H20</f>
        <v>8.266672042677254</v>
      </c>
      <c r="F39" s="75">
        <f>Summary!I20</f>
        <v>9.60103237113402</v>
      </c>
    </row>
    <row r="40" spans="2:6" ht="12">
      <c r="B40" s="51" t="s">
        <v>104</v>
      </c>
      <c r="D40" s="75">
        <f>Summary!G21</f>
        <v>1.2062465090483494</v>
      </c>
      <c r="E40" s="75">
        <f>Summary!H21</f>
        <v>1.5091518121479042</v>
      </c>
      <c r="F40" s="75">
        <f>Summary!I21</f>
        <v>2.366545532646048</v>
      </c>
    </row>
    <row r="41" spans="2:6" ht="12.75">
      <c r="B41" s="58" t="s">
        <v>106</v>
      </c>
      <c r="D41" s="75">
        <f>Summary!G22</f>
        <v>0.8579353401741183</v>
      </c>
      <c r="E41" s="75">
        <f>Summary!H22</f>
        <v>0.766205805339544</v>
      </c>
      <c r="F41" s="75">
        <f>Summary!I22</f>
        <v>0.8742615979381444</v>
      </c>
    </row>
  </sheetData>
  <sheetProtection/>
  <mergeCells count="1">
    <mergeCell ref="B2:F2"/>
  </mergeCells>
  <hyperlinks>
    <hyperlink ref="E30" location="Graphics!A1" display="210-Head, Free Stall, Holstein"/>
  </hyperlinks>
  <printOptions/>
  <pageMargins left="0.7" right="0.7" top="0.75" bottom="0.75" header="0.3" footer="0.3"/>
  <pageSetup fitToHeight="1" fitToWidth="1" horizontalDpi="600" verticalDpi="600" orientation="portrait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40">
      <selection activeCell="F59" sqref="F59"/>
    </sheetView>
  </sheetViews>
  <sheetFormatPr defaultColWidth="9.140625" defaultRowHeight="12.75"/>
  <cols>
    <col min="1" max="1" width="1.28515625" style="0" customWidth="1"/>
    <col min="4" max="4" width="11.28125" style="0" customWidth="1"/>
    <col min="5" max="5" width="9.140625" style="19" customWidth="1"/>
    <col min="6" max="6" width="13.7109375" style="19" customWidth="1"/>
    <col min="7" max="7" width="11.00390625" style="0" customWidth="1"/>
    <col min="8" max="8" width="13.7109375" style="0" customWidth="1"/>
    <col min="9" max="9" width="11.00390625" style="0" customWidth="1"/>
    <col min="11" max="11" width="10.7109375" style="0" bestFit="1" customWidth="1"/>
    <col min="12" max="12" width="9.7109375" style="0" bestFit="1" customWidth="1"/>
  </cols>
  <sheetData>
    <row r="1" spans="2:6" ht="15">
      <c r="B1" s="23" t="s">
        <v>62</v>
      </c>
      <c r="C1" s="21"/>
      <c r="D1" s="21"/>
      <c r="E1" s="21"/>
      <c r="F1" s="21"/>
    </row>
    <row r="2" spans="2:7" ht="15">
      <c r="B2" s="23" t="s">
        <v>122</v>
      </c>
      <c r="C2" s="21"/>
      <c r="D2" s="21"/>
      <c r="E2" s="21"/>
      <c r="F2" s="21"/>
      <c r="G2" s="43"/>
    </row>
    <row r="3" spans="2:6" ht="15">
      <c r="B3" s="41" t="s">
        <v>63</v>
      </c>
      <c r="C3" s="42"/>
      <c r="D3" s="42"/>
      <c r="E3" s="42"/>
      <c r="F3" s="22"/>
    </row>
    <row r="4" spans="2:6" ht="15">
      <c r="B4" s="23"/>
      <c r="C4" s="40"/>
      <c r="D4" s="40"/>
      <c r="E4" s="40"/>
      <c r="F4" s="22"/>
    </row>
    <row r="5" spans="1:9" ht="12.75">
      <c r="A5" s="28"/>
      <c r="B5" s="28"/>
      <c r="C5" s="25"/>
      <c r="D5" s="26"/>
      <c r="E5" s="27"/>
      <c r="F5" s="28" t="s">
        <v>0</v>
      </c>
      <c r="G5" s="25"/>
      <c r="H5" s="26"/>
      <c r="I5" s="27"/>
    </row>
    <row r="6" spans="1:9" ht="12.75">
      <c r="A6" s="24"/>
      <c r="B6" s="24"/>
      <c r="C6" s="9"/>
      <c r="D6" s="9" t="s">
        <v>1</v>
      </c>
      <c r="E6" s="9"/>
      <c r="F6" s="9" t="s">
        <v>2</v>
      </c>
      <c r="G6" s="9" t="s">
        <v>3</v>
      </c>
      <c r="H6" s="9" t="s">
        <v>4</v>
      </c>
      <c r="I6" s="9" t="s">
        <v>5</v>
      </c>
    </row>
    <row r="7" spans="1:9" ht="12.75">
      <c r="A7" s="31"/>
      <c r="B7" s="31"/>
      <c r="C7" s="10"/>
      <c r="D7" s="29" t="s">
        <v>6</v>
      </c>
      <c r="E7" s="10" t="s">
        <v>7</v>
      </c>
      <c r="F7" s="10" t="s">
        <v>8</v>
      </c>
      <c r="G7" s="10" t="s">
        <v>9</v>
      </c>
      <c r="H7" s="10"/>
      <c r="I7" s="10" t="s">
        <v>10</v>
      </c>
    </row>
    <row r="8" spans="1:3" ht="12.75">
      <c r="A8" s="6" t="s">
        <v>11</v>
      </c>
      <c r="B8" s="6"/>
      <c r="C8" s="6"/>
    </row>
    <row r="9" spans="2:10" ht="12">
      <c r="B9" t="s">
        <v>53</v>
      </c>
      <c r="D9" s="5">
        <v>241.27</v>
      </c>
      <c r="E9" s="19" t="s">
        <v>12</v>
      </c>
      <c r="F9" s="19">
        <v>210</v>
      </c>
      <c r="G9" s="7">
        <v>22.45</v>
      </c>
      <c r="H9" s="7">
        <f>D9*F9*G9</f>
        <v>1137467.415</v>
      </c>
      <c r="I9" s="7">
        <f>+H9/210</f>
        <v>5416.5115000000005</v>
      </c>
      <c r="J9" s="4"/>
    </row>
    <row r="10" spans="2:10" ht="12">
      <c r="B10" t="s">
        <v>54</v>
      </c>
      <c r="D10" s="5">
        <v>1</v>
      </c>
      <c r="E10" s="19" t="s">
        <v>17</v>
      </c>
      <c r="F10" s="19">
        <v>79</v>
      </c>
      <c r="G10" s="7">
        <v>181</v>
      </c>
      <c r="H10" s="7">
        <f>D10*F10*G10</f>
        <v>14299</v>
      </c>
      <c r="I10" s="7">
        <f aca="true" t="shared" si="0" ref="I10:I58">+H10/210</f>
        <v>68.0904761904762</v>
      </c>
      <c r="J10" s="4"/>
    </row>
    <row r="11" spans="2:10" ht="12">
      <c r="B11" t="s">
        <v>13</v>
      </c>
      <c r="D11" s="5">
        <v>1</v>
      </c>
      <c r="E11" s="19" t="s">
        <v>17</v>
      </c>
      <c r="F11" s="19">
        <v>79</v>
      </c>
      <c r="G11" s="7">
        <v>234</v>
      </c>
      <c r="H11" s="7">
        <f>D11*F11*G11</f>
        <v>18486</v>
      </c>
      <c r="I11" s="7">
        <f t="shared" si="0"/>
        <v>88.02857142857142</v>
      </c>
      <c r="J11" s="4"/>
    </row>
    <row r="12" spans="2:10" ht="12">
      <c r="B12" t="s">
        <v>14</v>
      </c>
      <c r="D12" s="5">
        <v>1</v>
      </c>
      <c r="E12" s="19" t="s">
        <v>17</v>
      </c>
      <c r="F12" s="19">
        <v>58.8</v>
      </c>
      <c r="G12" s="7">
        <v>1515</v>
      </c>
      <c r="H12" s="7">
        <f>D12*F12*G12</f>
        <v>89082</v>
      </c>
      <c r="I12" s="7">
        <f t="shared" si="0"/>
        <v>424.2</v>
      </c>
      <c r="J12" s="4"/>
    </row>
    <row r="13" spans="2:9" ht="12.75">
      <c r="B13" s="6" t="s">
        <v>36</v>
      </c>
      <c r="C13" s="6"/>
      <c r="D13" s="8"/>
      <c r="H13" s="2">
        <f>SUM(H9:H12)</f>
        <v>1259334.415</v>
      </c>
      <c r="I13" s="2">
        <f t="shared" si="0"/>
        <v>5996.830547619048</v>
      </c>
    </row>
    <row r="14" spans="4:9" ht="12">
      <c r="D14" s="8"/>
      <c r="H14" s="3"/>
      <c r="I14" s="3"/>
    </row>
    <row r="15" spans="1:6" ht="12.75">
      <c r="A15" s="6" t="s">
        <v>15</v>
      </c>
      <c r="F15" s="89"/>
    </row>
    <row r="16" spans="1:9" ht="12.75">
      <c r="A16" s="6"/>
      <c r="B16" s="8" t="s">
        <v>16</v>
      </c>
      <c r="E16" s="19" t="s">
        <v>12</v>
      </c>
      <c r="F16" s="90">
        <v>10162.8</v>
      </c>
      <c r="G16" s="50">
        <v>11.75</v>
      </c>
      <c r="H16" s="7">
        <f aca="true" t="shared" si="1" ref="H16:H39">+F16*G16</f>
        <v>119412.9</v>
      </c>
      <c r="I16" s="45">
        <f t="shared" si="0"/>
        <v>568.6328571428571</v>
      </c>
    </row>
    <row r="17" spans="2:9" ht="12">
      <c r="B17" s="8" t="s">
        <v>55</v>
      </c>
      <c r="E17" s="19" t="s">
        <v>12</v>
      </c>
      <c r="F17" s="90">
        <v>23846.4</v>
      </c>
      <c r="G17" s="50">
        <v>2.25</v>
      </c>
      <c r="H17" s="7">
        <f>+F17*G17</f>
        <v>53654.4</v>
      </c>
      <c r="I17" s="45">
        <f t="shared" si="0"/>
        <v>255.49714285714288</v>
      </c>
    </row>
    <row r="18" spans="2:9" ht="12">
      <c r="B18" s="8" t="s">
        <v>123</v>
      </c>
      <c r="E18" s="18" t="s">
        <v>12</v>
      </c>
      <c r="F18" s="90">
        <v>20152.8</v>
      </c>
      <c r="G18" s="50">
        <v>11.88</v>
      </c>
      <c r="H18" s="7">
        <f t="shared" si="1"/>
        <v>239415.264</v>
      </c>
      <c r="I18" s="45">
        <f t="shared" si="0"/>
        <v>1140.0726857142856</v>
      </c>
    </row>
    <row r="19" spans="2:9" ht="12">
      <c r="B19" s="8" t="s">
        <v>125</v>
      </c>
      <c r="E19" s="19" t="s">
        <v>12</v>
      </c>
      <c r="F19" s="90">
        <v>345.6</v>
      </c>
      <c r="G19" s="50">
        <v>23.13</v>
      </c>
      <c r="H19" s="7">
        <f t="shared" si="1"/>
        <v>7993.728</v>
      </c>
      <c r="I19" s="45">
        <f t="shared" si="0"/>
        <v>38.06537142857143</v>
      </c>
    </row>
    <row r="20" spans="2:9" ht="12">
      <c r="B20" s="8" t="s">
        <v>124</v>
      </c>
      <c r="E20" s="18" t="s">
        <v>12</v>
      </c>
      <c r="F20" s="90">
        <v>2181.6</v>
      </c>
      <c r="G20" s="50">
        <v>9.26</v>
      </c>
      <c r="H20" s="7">
        <f t="shared" si="1"/>
        <v>20201.615999999998</v>
      </c>
      <c r="I20" s="45">
        <f t="shared" si="0"/>
        <v>96.19817142857141</v>
      </c>
    </row>
    <row r="21" spans="2:9" ht="12">
      <c r="B21" s="8" t="s">
        <v>126</v>
      </c>
      <c r="E21" s="18" t="s">
        <v>17</v>
      </c>
      <c r="F21" s="90">
        <v>210</v>
      </c>
      <c r="G21" s="50">
        <v>57</v>
      </c>
      <c r="H21" s="7">
        <f t="shared" si="1"/>
        <v>11970</v>
      </c>
      <c r="I21" s="45">
        <f t="shared" si="0"/>
        <v>57</v>
      </c>
    </row>
    <row r="22" spans="2:9" ht="12">
      <c r="B22" s="8" t="s">
        <v>57</v>
      </c>
      <c r="E22" s="18" t="s">
        <v>17</v>
      </c>
      <c r="F22" s="90">
        <v>210</v>
      </c>
      <c r="G22" s="50">
        <v>46</v>
      </c>
      <c r="H22" s="7">
        <f t="shared" si="1"/>
        <v>9660</v>
      </c>
      <c r="I22" s="45">
        <f t="shared" si="0"/>
        <v>46</v>
      </c>
    </row>
    <row r="23" spans="2:9" ht="12">
      <c r="B23" s="8" t="s">
        <v>76</v>
      </c>
      <c r="E23" s="18" t="s">
        <v>17</v>
      </c>
      <c r="F23" s="90">
        <v>210</v>
      </c>
      <c r="G23" s="50">
        <v>121.5</v>
      </c>
      <c r="H23" s="7">
        <f t="shared" si="1"/>
        <v>25515</v>
      </c>
      <c r="I23" s="45">
        <f t="shared" si="0"/>
        <v>121.5</v>
      </c>
    </row>
    <row r="24" spans="2:9" ht="12">
      <c r="B24" s="8" t="s">
        <v>58</v>
      </c>
      <c r="E24" s="19" t="s">
        <v>17</v>
      </c>
      <c r="F24" s="90">
        <v>210</v>
      </c>
      <c r="G24" s="50">
        <v>43</v>
      </c>
      <c r="H24" s="7">
        <f t="shared" si="1"/>
        <v>9030</v>
      </c>
      <c r="I24" s="45">
        <f t="shared" si="0"/>
        <v>43</v>
      </c>
    </row>
    <row r="25" spans="2:9" ht="12">
      <c r="B25" s="8" t="s">
        <v>74</v>
      </c>
      <c r="E25" s="18" t="s">
        <v>17</v>
      </c>
      <c r="F25" s="90">
        <v>210</v>
      </c>
      <c r="G25" s="50">
        <v>6.78</v>
      </c>
      <c r="H25" s="7">
        <f t="shared" si="1"/>
        <v>1423.8</v>
      </c>
      <c r="I25" s="45">
        <f t="shared" si="0"/>
        <v>6.779999999999999</v>
      </c>
    </row>
    <row r="26" spans="2:9" ht="12">
      <c r="B26" s="8" t="s">
        <v>59</v>
      </c>
      <c r="E26" s="18" t="s">
        <v>17</v>
      </c>
      <c r="F26" s="90">
        <v>210</v>
      </c>
      <c r="G26" s="50">
        <v>109</v>
      </c>
      <c r="H26" s="7">
        <f t="shared" si="1"/>
        <v>22890</v>
      </c>
      <c r="I26" s="45">
        <f t="shared" si="0"/>
        <v>109</v>
      </c>
    </row>
    <row r="27" spans="2:9" ht="12">
      <c r="B27" s="8" t="s">
        <v>77</v>
      </c>
      <c r="E27" s="18" t="s">
        <v>17</v>
      </c>
      <c r="F27" s="90">
        <v>210</v>
      </c>
      <c r="G27" s="50">
        <v>64.78</v>
      </c>
      <c r="H27" s="7">
        <f t="shared" si="1"/>
        <v>13603.800000000001</v>
      </c>
      <c r="I27" s="45">
        <f t="shared" si="0"/>
        <v>64.78</v>
      </c>
    </row>
    <row r="28" spans="2:9" ht="12">
      <c r="B28" s="8" t="s">
        <v>61</v>
      </c>
      <c r="E28" s="18" t="s">
        <v>17</v>
      </c>
      <c r="F28" s="90">
        <v>72.4</v>
      </c>
      <c r="G28" s="50">
        <v>1944</v>
      </c>
      <c r="H28" s="7">
        <f t="shared" si="1"/>
        <v>140745.6</v>
      </c>
      <c r="I28" s="45">
        <f t="shared" si="0"/>
        <v>670.2171428571429</v>
      </c>
    </row>
    <row r="29" spans="2:9" ht="12">
      <c r="B29" s="8" t="s">
        <v>75</v>
      </c>
      <c r="E29" s="18" t="s">
        <v>17</v>
      </c>
      <c r="F29" s="90">
        <v>210</v>
      </c>
      <c r="G29" s="50">
        <v>94</v>
      </c>
      <c r="H29" s="7">
        <f t="shared" si="1"/>
        <v>19740</v>
      </c>
      <c r="I29" s="45">
        <f t="shared" si="0"/>
        <v>94</v>
      </c>
    </row>
    <row r="30" spans="2:9" ht="12">
      <c r="B30" s="8" t="s">
        <v>78</v>
      </c>
      <c r="E30" s="18" t="s">
        <v>17</v>
      </c>
      <c r="F30" s="90">
        <v>210</v>
      </c>
      <c r="G30" s="50">
        <v>37.72</v>
      </c>
      <c r="H30" s="7">
        <f t="shared" si="1"/>
        <v>7921.2</v>
      </c>
      <c r="I30" s="45">
        <f t="shared" si="0"/>
        <v>37.72</v>
      </c>
    </row>
    <row r="31" spans="2:9" ht="12">
      <c r="B31" s="8" t="s">
        <v>79</v>
      </c>
      <c r="E31" s="18" t="s">
        <v>17</v>
      </c>
      <c r="F31" s="90">
        <v>210</v>
      </c>
      <c r="G31" s="50">
        <v>27</v>
      </c>
      <c r="H31" s="7">
        <f t="shared" si="1"/>
        <v>5670</v>
      </c>
      <c r="I31" s="45">
        <f t="shared" si="0"/>
        <v>27</v>
      </c>
    </row>
    <row r="32" spans="2:9" ht="12">
      <c r="B32" s="8" t="s">
        <v>139</v>
      </c>
      <c r="E32" s="18" t="s">
        <v>17</v>
      </c>
      <c r="F32" s="90">
        <v>210</v>
      </c>
      <c r="G32" s="50">
        <v>181.09</v>
      </c>
      <c r="H32" s="7">
        <f t="shared" si="1"/>
        <v>38028.9</v>
      </c>
      <c r="I32" s="45">
        <f t="shared" si="0"/>
        <v>181.09</v>
      </c>
    </row>
    <row r="33" spans="2:9" ht="12">
      <c r="B33" s="8" t="s">
        <v>80</v>
      </c>
      <c r="E33" s="18" t="s">
        <v>17</v>
      </c>
      <c r="F33" s="90">
        <v>210</v>
      </c>
      <c r="G33" s="50">
        <v>26</v>
      </c>
      <c r="H33" s="7">
        <f t="shared" si="1"/>
        <v>5460</v>
      </c>
      <c r="I33" s="45">
        <f t="shared" si="0"/>
        <v>26</v>
      </c>
    </row>
    <row r="34" spans="2:9" ht="12">
      <c r="B34" t="s">
        <v>19</v>
      </c>
      <c r="E34" s="19" t="s">
        <v>18</v>
      </c>
      <c r="F34" s="90">
        <v>12285.71</v>
      </c>
      <c r="G34" s="50">
        <v>1</v>
      </c>
      <c r="H34" s="7">
        <f t="shared" si="1"/>
        <v>12285.71</v>
      </c>
      <c r="I34" s="45">
        <f t="shared" si="0"/>
        <v>58.50338095238095</v>
      </c>
    </row>
    <row r="35" spans="2:9" ht="12">
      <c r="B35" t="s">
        <v>20</v>
      </c>
      <c r="E35" s="19" t="s">
        <v>18</v>
      </c>
      <c r="F35" s="90">
        <v>4155</v>
      </c>
      <c r="G35" s="50">
        <v>1</v>
      </c>
      <c r="H35" s="7">
        <f t="shared" si="1"/>
        <v>4155</v>
      </c>
      <c r="I35" s="45">
        <f t="shared" si="0"/>
        <v>19.785714285714285</v>
      </c>
    </row>
    <row r="36" spans="2:9" ht="12">
      <c r="B36" t="s">
        <v>21</v>
      </c>
      <c r="E36" s="19" t="s">
        <v>18</v>
      </c>
      <c r="F36" s="90">
        <v>8965.4</v>
      </c>
      <c r="G36" s="50">
        <v>1</v>
      </c>
      <c r="H36" s="7">
        <f t="shared" si="1"/>
        <v>8965.4</v>
      </c>
      <c r="I36" s="45">
        <f t="shared" si="0"/>
        <v>42.69238095238095</v>
      </c>
    </row>
    <row r="37" spans="2:9" ht="12">
      <c r="B37" t="s">
        <v>22</v>
      </c>
      <c r="E37" s="19" t="s">
        <v>18</v>
      </c>
      <c r="F37" s="90">
        <v>3649.5</v>
      </c>
      <c r="G37" s="50">
        <v>1</v>
      </c>
      <c r="H37" s="7">
        <f t="shared" si="1"/>
        <v>3649.5</v>
      </c>
      <c r="I37" s="45">
        <f t="shared" si="0"/>
        <v>17.37857142857143</v>
      </c>
    </row>
    <row r="38" spans="2:9" ht="12">
      <c r="B38" t="s">
        <v>23</v>
      </c>
      <c r="E38" s="19" t="s">
        <v>24</v>
      </c>
      <c r="F38" s="90">
        <v>9084</v>
      </c>
      <c r="G38" s="50">
        <v>10.75</v>
      </c>
      <c r="H38" s="7">
        <v>97646.16</v>
      </c>
      <c r="I38" s="45">
        <f t="shared" si="0"/>
        <v>464.9817142857143</v>
      </c>
    </row>
    <row r="39" spans="2:9" ht="12">
      <c r="B39" s="8" t="s">
        <v>49</v>
      </c>
      <c r="E39" s="19" t="s">
        <v>24</v>
      </c>
      <c r="F39" s="90">
        <v>1080</v>
      </c>
      <c r="G39" s="50">
        <v>23.47</v>
      </c>
      <c r="H39" s="32">
        <f t="shared" si="1"/>
        <v>25347.6</v>
      </c>
      <c r="I39" s="47">
        <f t="shared" si="0"/>
        <v>120.70285714285714</v>
      </c>
    </row>
    <row r="40" spans="2:12" ht="12.75">
      <c r="B40" s="6" t="s">
        <v>37</v>
      </c>
      <c r="F40" s="89"/>
      <c r="G40" s="5"/>
      <c r="H40" s="1">
        <f>SUM(H16:H39)</f>
        <v>904385.578</v>
      </c>
      <c r="I40" s="1">
        <f t="shared" si="0"/>
        <v>4306.597990476191</v>
      </c>
      <c r="J40">
        <v>4306.56</v>
      </c>
      <c r="K40" s="1">
        <f>I40-J40</f>
        <v>0.03799047619031626</v>
      </c>
      <c r="L40" s="1"/>
    </row>
    <row r="41" spans="6:9" ht="12">
      <c r="F41" s="89"/>
      <c r="G41" s="5"/>
      <c r="H41" s="1"/>
      <c r="I41" s="1"/>
    </row>
    <row r="42" spans="2:11" ht="12.75">
      <c r="B42" s="6" t="s">
        <v>26</v>
      </c>
      <c r="F42" s="89"/>
      <c r="G42" s="5"/>
      <c r="H42" s="33">
        <f>+H13-H40</f>
        <v>354948.83700000006</v>
      </c>
      <c r="I42" s="33">
        <f t="shared" si="0"/>
        <v>1690.2325571428573</v>
      </c>
      <c r="K42" s="1"/>
    </row>
    <row r="43" spans="6:9" ht="12">
      <c r="F43" s="89"/>
      <c r="G43" s="5"/>
      <c r="H43" s="1"/>
      <c r="I43" s="1"/>
    </row>
    <row r="44" spans="1:7" ht="12.75">
      <c r="A44" s="6" t="s">
        <v>27</v>
      </c>
      <c r="F44" s="89"/>
      <c r="G44" s="5"/>
    </row>
    <row r="45" spans="2:7" ht="12">
      <c r="B45" t="s">
        <v>28</v>
      </c>
      <c r="F45" s="89"/>
      <c r="G45" s="5"/>
    </row>
    <row r="46" spans="3:9" ht="12">
      <c r="C46" t="s">
        <v>29</v>
      </c>
      <c r="E46" s="19" t="s">
        <v>18</v>
      </c>
      <c r="F46" s="90">
        <v>0</v>
      </c>
      <c r="G46" s="50">
        <v>1</v>
      </c>
      <c r="H46" s="45">
        <f>F46*G46</f>
        <v>0</v>
      </c>
      <c r="I46" s="45">
        <f t="shared" si="0"/>
        <v>0</v>
      </c>
    </row>
    <row r="47" spans="3:9" ht="12">
      <c r="C47" t="s">
        <v>39</v>
      </c>
      <c r="E47" s="19" t="s">
        <v>18</v>
      </c>
      <c r="F47" s="90">
        <v>21702.86</v>
      </c>
      <c r="G47" s="50">
        <v>1</v>
      </c>
      <c r="H47" s="45">
        <f>F47</f>
        <v>21702.86</v>
      </c>
      <c r="I47" s="45">
        <f t="shared" si="0"/>
        <v>103.34695238095239</v>
      </c>
    </row>
    <row r="48" spans="3:9" ht="12">
      <c r="C48" t="s">
        <v>30</v>
      </c>
      <c r="E48" s="19" t="s">
        <v>18</v>
      </c>
      <c r="F48" s="90">
        <v>10956.32</v>
      </c>
      <c r="G48" s="50">
        <v>1</v>
      </c>
      <c r="H48" s="45">
        <f>F48</f>
        <v>10956.32</v>
      </c>
      <c r="I48" s="45">
        <f t="shared" si="0"/>
        <v>52.17295238095238</v>
      </c>
    </row>
    <row r="49" spans="3:9" ht="12">
      <c r="C49" t="s">
        <v>31</v>
      </c>
      <c r="E49" s="19" t="s">
        <v>18</v>
      </c>
      <c r="F49" s="90">
        <v>22998.25</v>
      </c>
      <c r="G49" s="50">
        <v>1</v>
      </c>
      <c r="H49" s="45">
        <f>F49</f>
        <v>22998.25</v>
      </c>
      <c r="I49" s="45">
        <f t="shared" si="0"/>
        <v>109.51547619047619</v>
      </c>
    </row>
    <row r="50" spans="3:9" ht="12">
      <c r="C50" t="s">
        <v>32</v>
      </c>
      <c r="E50" s="19" t="s">
        <v>18</v>
      </c>
      <c r="F50" s="90">
        <v>5459.1</v>
      </c>
      <c r="G50" s="50">
        <v>1</v>
      </c>
      <c r="H50" s="45">
        <f>F50</f>
        <v>5459.1</v>
      </c>
      <c r="I50" s="45">
        <f t="shared" si="0"/>
        <v>25.99571428571429</v>
      </c>
    </row>
    <row r="51" spans="2:9" ht="12">
      <c r="B51" s="8" t="s">
        <v>50</v>
      </c>
      <c r="E51" s="18" t="s">
        <v>18</v>
      </c>
      <c r="F51" s="90">
        <v>363195</v>
      </c>
      <c r="G51" s="91">
        <v>0.0575</v>
      </c>
      <c r="H51" s="45">
        <f>G51*F51</f>
        <v>20883.7125</v>
      </c>
      <c r="I51" s="45">
        <f t="shared" si="0"/>
        <v>99.44625</v>
      </c>
    </row>
    <row r="52" spans="2:9" ht="12">
      <c r="B52" s="8" t="s">
        <v>33</v>
      </c>
      <c r="E52" s="19" t="s">
        <v>18</v>
      </c>
      <c r="F52" s="90">
        <v>2585.04</v>
      </c>
      <c r="G52" s="50">
        <v>1</v>
      </c>
      <c r="H52" s="45">
        <f>F52</f>
        <v>2585.04</v>
      </c>
      <c r="I52" s="45">
        <f t="shared" si="0"/>
        <v>12.309714285714286</v>
      </c>
    </row>
    <row r="53" spans="2:9" ht="12">
      <c r="B53" t="s">
        <v>34</v>
      </c>
      <c r="E53" s="19" t="s">
        <v>18</v>
      </c>
      <c r="F53" s="90">
        <v>20000</v>
      </c>
      <c r="G53" s="50">
        <v>1</v>
      </c>
      <c r="H53" s="45">
        <f>F53*G53</f>
        <v>20000</v>
      </c>
      <c r="I53" s="45">
        <f t="shared" si="0"/>
        <v>95.23809523809524</v>
      </c>
    </row>
    <row r="54" spans="2:9" ht="12.75">
      <c r="B54" s="6" t="s">
        <v>38</v>
      </c>
      <c r="F54" s="90"/>
      <c r="H54" s="45">
        <f>SUM(H46:H53)</f>
        <v>104585.28249999999</v>
      </c>
      <c r="I54" s="45">
        <f t="shared" si="0"/>
        <v>498.0251547619047</v>
      </c>
    </row>
    <row r="55" spans="8:9" ht="12">
      <c r="H55" s="1"/>
      <c r="I55" s="1"/>
    </row>
    <row r="56" spans="2:9" ht="12.75">
      <c r="B56" s="6" t="s">
        <v>35</v>
      </c>
      <c r="H56" s="33">
        <f>+H40+H54</f>
        <v>1008970.8605</v>
      </c>
      <c r="I56" s="33">
        <f t="shared" si="0"/>
        <v>4804.623145238095</v>
      </c>
    </row>
    <row r="57" spans="8:9" ht="12">
      <c r="H57" s="1"/>
      <c r="I57" s="1"/>
    </row>
    <row r="58" spans="2:9" ht="13.5" thickBot="1">
      <c r="B58" s="6" t="s">
        <v>51</v>
      </c>
      <c r="H58" s="34">
        <f>+H13-H56</f>
        <v>250363.5545000001</v>
      </c>
      <c r="I58" s="34">
        <f t="shared" si="0"/>
        <v>1192.2074023809528</v>
      </c>
    </row>
    <row r="59" ht="12.75" thickTop="1"/>
  </sheetData>
  <sheetProtection/>
  <printOptions/>
  <pageMargins left="0.75" right="0.75" top="1" bottom="1" header="0.5" footer="0.5"/>
  <pageSetup horizontalDpi="300" verticalDpi="3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40">
      <selection activeCell="F53" sqref="F53"/>
    </sheetView>
  </sheetViews>
  <sheetFormatPr defaultColWidth="9.140625" defaultRowHeight="12.75"/>
  <cols>
    <col min="1" max="1" width="1.28515625" style="0" customWidth="1"/>
    <col min="5" max="5" width="9.140625" style="19" customWidth="1"/>
    <col min="6" max="6" width="13.7109375" style="19" customWidth="1"/>
    <col min="8" max="8" width="13.7109375" style="0" customWidth="1"/>
    <col min="9" max="9" width="11.421875" style="0" customWidth="1"/>
  </cols>
  <sheetData>
    <row r="1" spans="2:6" ht="15">
      <c r="B1" s="23" t="s">
        <v>85</v>
      </c>
      <c r="C1" s="21"/>
      <c r="D1" s="21"/>
      <c r="E1" s="21"/>
      <c r="F1" s="21"/>
    </row>
    <row r="2" spans="2:7" ht="15">
      <c r="B2" s="23" t="s">
        <v>141</v>
      </c>
      <c r="C2" s="21"/>
      <c r="D2" s="21"/>
      <c r="E2" s="21"/>
      <c r="F2" s="21"/>
      <c r="G2" s="43"/>
    </row>
    <row r="3" spans="2:6" ht="15">
      <c r="B3" s="41" t="s">
        <v>64</v>
      </c>
      <c r="C3" s="42"/>
      <c r="D3" s="42"/>
      <c r="E3" s="42"/>
      <c r="F3" s="22"/>
    </row>
    <row r="4" spans="2:6" ht="15">
      <c r="B4" s="23"/>
      <c r="C4" s="40"/>
      <c r="D4" s="40"/>
      <c r="E4" s="40"/>
      <c r="F4" s="22"/>
    </row>
    <row r="5" spans="1:9" ht="12.75">
      <c r="A5" s="28"/>
      <c r="B5" s="28"/>
      <c r="C5" s="25"/>
      <c r="D5" s="26"/>
      <c r="E5" s="27"/>
      <c r="F5" s="28" t="s">
        <v>0</v>
      </c>
      <c r="G5" s="25"/>
      <c r="H5" s="26"/>
      <c r="I5" s="27"/>
    </row>
    <row r="6" spans="1:9" ht="12.75">
      <c r="A6" s="24"/>
      <c r="B6" s="24"/>
      <c r="C6" s="9"/>
      <c r="D6" s="9" t="s">
        <v>1</v>
      </c>
      <c r="E6" s="9"/>
      <c r="F6" s="9" t="s">
        <v>2</v>
      </c>
      <c r="G6" s="9" t="s">
        <v>3</v>
      </c>
      <c r="H6" s="9" t="s">
        <v>4</v>
      </c>
      <c r="I6" s="9" t="s">
        <v>5</v>
      </c>
    </row>
    <row r="7" spans="1:9" ht="12.75">
      <c r="A7" s="31"/>
      <c r="B7" s="31"/>
      <c r="C7" s="10"/>
      <c r="D7" s="29" t="s">
        <v>6</v>
      </c>
      <c r="E7" s="10" t="s">
        <v>7</v>
      </c>
      <c r="F7" s="10" t="s">
        <v>8</v>
      </c>
      <c r="G7" s="10" t="s">
        <v>9</v>
      </c>
      <c r="H7" s="10"/>
      <c r="I7" s="10" t="s">
        <v>10</v>
      </c>
    </row>
    <row r="8" spans="1:3" ht="12.75">
      <c r="A8" s="6" t="s">
        <v>11</v>
      </c>
      <c r="B8" s="6"/>
      <c r="C8" s="6"/>
    </row>
    <row r="9" spans="2:10" ht="12">
      <c r="B9" t="s">
        <v>53</v>
      </c>
      <c r="D9" s="5">
        <v>253.33</v>
      </c>
      <c r="E9" s="19" t="s">
        <v>12</v>
      </c>
      <c r="F9" s="19">
        <v>210</v>
      </c>
      <c r="G9" s="7">
        <v>22.34</v>
      </c>
      <c r="H9" s="7">
        <f>D9*F9*G9</f>
        <v>1188472.362</v>
      </c>
      <c r="I9" s="7">
        <f>+H9/210</f>
        <v>5659.3922</v>
      </c>
      <c r="J9" s="4"/>
    </row>
    <row r="10" spans="2:10" ht="12">
      <c r="B10" t="s">
        <v>54</v>
      </c>
      <c r="D10" s="5">
        <v>1</v>
      </c>
      <c r="E10" s="19" t="s">
        <v>17</v>
      </c>
      <c r="F10" s="19">
        <v>92.2</v>
      </c>
      <c r="G10" s="7">
        <v>181</v>
      </c>
      <c r="H10" s="7">
        <f>D10*F10*G10</f>
        <v>16688.2</v>
      </c>
      <c r="I10" s="7">
        <f aca="true" t="shared" si="0" ref="I10:I58">+H10/210</f>
        <v>79.46761904761905</v>
      </c>
      <c r="J10" s="4"/>
    </row>
    <row r="11" spans="2:10" ht="12">
      <c r="B11" t="s">
        <v>13</v>
      </c>
      <c r="D11" s="5">
        <v>1</v>
      </c>
      <c r="E11" s="19" t="s">
        <v>17</v>
      </c>
      <c r="F11" s="19">
        <v>92.2</v>
      </c>
      <c r="G11" s="7">
        <v>234</v>
      </c>
      <c r="H11" s="7">
        <f>D11*F11*G11</f>
        <v>21574.8</v>
      </c>
      <c r="I11" s="7">
        <f t="shared" si="0"/>
        <v>102.73714285714286</v>
      </c>
      <c r="J11" s="4"/>
    </row>
    <row r="12" spans="2:10" ht="12">
      <c r="B12" t="s">
        <v>14</v>
      </c>
      <c r="D12" s="5">
        <v>1</v>
      </c>
      <c r="E12" s="19" t="s">
        <v>17</v>
      </c>
      <c r="F12" s="19">
        <v>58.8</v>
      </c>
      <c r="G12" s="7">
        <v>1515</v>
      </c>
      <c r="H12" s="7">
        <f>D12*F12*G12</f>
        <v>89082</v>
      </c>
      <c r="I12" s="7">
        <f t="shared" si="0"/>
        <v>424.2</v>
      </c>
      <c r="J12" s="4"/>
    </row>
    <row r="13" spans="4:10" ht="12">
      <c r="D13" s="5"/>
      <c r="G13" s="7"/>
      <c r="H13" s="32"/>
      <c r="I13" s="32"/>
      <c r="J13" s="4"/>
    </row>
    <row r="14" spans="2:9" ht="12.75">
      <c r="B14" s="6" t="s">
        <v>36</v>
      </c>
      <c r="C14" s="6"/>
      <c r="D14" s="8"/>
      <c r="H14" s="2">
        <f>SUM(H9:H13)</f>
        <v>1315817.362</v>
      </c>
      <c r="I14" s="2">
        <f t="shared" si="0"/>
        <v>6265.796961904762</v>
      </c>
    </row>
    <row r="15" spans="4:9" ht="12">
      <c r="D15" s="8"/>
      <c r="H15" s="3"/>
      <c r="I15" s="3"/>
    </row>
    <row r="16" ht="12.75">
      <c r="A16" s="6" t="s">
        <v>15</v>
      </c>
    </row>
    <row r="17" spans="2:9" ht="12">
      <c r="B17" s="8" t="s">
        <v>16</v>
      </c>
      <c r="E17" s="18" t="s">
        <v>12</v>
      </c>
      <c r="F17" s="90">
        <v>10162.8</v>
      </c>
      <c r="G17" s="50">
        <v>11.75</v>
      </c>
      <c r="H17" s="7">
        <f>+F17*G17</f>
        <v>119412.9</v>
      </c>
      <c r="I17" s="7">
        <f>+H17/210</f>
        <v>568.6328571428571</v>
      </c>
    </row>
    <row r="18" spans="2:9" ht="12">
      <c r="B18" s="8" t="s">
        <v>56</v>
      </c>
      <c r="E18" s="18" t="s">
        <v>12</v>
      </c>
      <c r="F18" s="90">
        <v>23846.4</v>
      </c>
      <c r="G18" s="50">
        <v>2.25</v>
      </c>
      <c r="H18" s="7">
        <f>+F18*G18</f>
        <v>53654.4</v>
      </c>
      <c r="I18" s="7">
        <f>+H18/210</f>
        <v>255.49714285714288</v>
      </c>
    </row>
    <row r="19" spans="2:9" ht="12">
      <c r="B19" s="8" t="s">
        <v>123</v>
      </c>
      <c r="E19" s="19" t="s">
        <v>12</v>
      </c>
      <c r="F19" s="90">
        <v>21254.4</v>
      </c>
      <c r="G19" s="50">
        <v>11.88</v>
      </c>
      <c r="H19" s="7">
        <f>+F19*G19</f>
        <v>252502.27200000003</v>
      </c>
      <c r="I19" s="7">
        <f t="shared" si="0"/>
        <v>1202.3917714285715</v>
      </c>
    </row>
    <row r="20" spans="2:9" ht="12">
      <c r="B20" s="8" t="s">
        <v>125</v>
      </c>
      <c r="E20" s="18" t="s">
        <v>12</v>
      </c>
      <c r="F20" s="90">
        <v>345.6</v>
      </c>
      <c r="G20" s="50">
        <v>23.13</v>
      </c>
      <c r="H20" s="7">
        <f aca="true" t="shared" si="1" ref="H20:H38">+F20*G20</f>
        <v>7993.728</v>
      </c>
      <c r="I20" s="7">
        <f t="shared" si="0"/>
        <v>38.06537142857143</v>
      </c>
    </row>
    <row r="21" spans="2:9" ht="12">
      <c r="B21" s="8" t="s">
        <v>124</v>
      </c>
      <c r="E21" s="19" t="s">
        <v>12</v>
      </c>
      <c r="F21" s="90">
        <v>2181.6</v>
      </c>
      <c r="G21" s="50">
        <v>9.26</v>
      </c>
      <c r="H21" s="7">
        <f t="shared" si="1"/>
        <v>20201.615999999998</v>
      </c>
      <c r="I21" s="7">
        <f t="shared" si="0"/>
        <v>96.19817142857141</v>
      </c>
    </row>
    <row r="22" spans="2:9" ht="12">
      <c r="B22" s="8" t="s">
        <v>57</v>
      </c>
      <c r="E22" s="18" t="s">
        <v>17</v>
      </c>
      <c r="F22" s="92">
        <v>210</v>
      </c>
      <c r="G22" s="5">
        <v>47</v>
      </c>
      <c r="H22" s="7">
        <f t="shared" si="1"/>
        <v>9870</v>
      </c>
      <c r="I22" s="7">
        <v>47</v>
      </c>
    </row>
    <row r="23" spans="2:9" ht="12">
      <c r="B23" s="8" t="s">
        <v>126</v>
      </c>
      <c r="E23" s="18" t="s">
        <v>17</v>
      </c>
      <c r="F23" s="92">
        <v>210</v>
      </c>
      <c r="G23" s="5">
        <v>57</v>
      </c>
      <c r="H23" s="7">
        <f t="shared" si="1"/>
        <v>11970</v>
      </c>
      <c r="I23" s="7">
        <f t="shared" si="0"/>
        <v>57</v>
      </c>
    </row>
    <row r="24" spans="2:9" ht="12">
      <c r="B24" s="8" t="s">
        <v>76</v>
      </c>
      <c r="E24" s="18" t="s">
        <v>17</v>
      </c>
      <c r="F24" s="92">
        <v>210</v>
      </c>
      <c r="G24" s="5">
        <v>121.5</v>
      </c>
      <c r="H24" s="7">
        <f t="shared" si="1"/>
        <v>25515</v>
      </c>
      <c r="I24" s="7">
        <f t="shared" si="0"/>
        <v>121.5</v>
      </c>
    </row>
    <row r="25" spans="2:9" ht="12">
      <c r="B25" s="8" t="s">
        <v>58</v>
      </c>
      <c r="E25" s="19" t="s">
        <v>17</v>
      </c>
      <c r="F25" s="92">
        <v>210</v>
      </c>
      <c r="G25" s="5">
        <v>43</v>
      </c>
      <c r="H25" s="7">
        <f t="shared" si="1"/>
        <v>9030</v>
      </c>
      <c r="I25" s="7">
        <f t="shared" si="0"/>
        <v>43</v>
      </c>
    </row>
    <row r="26" spans="2:9" ht="12">
      <c r="B26" s="8" t="s">
        <v>59</v>
      </c>
      <c r="E26" s="18" t="s">
        <v>17</v>
      </c>
      <c r="F26" s="92">
        <v>210</v>
      </c>
      <c r="G26" s="5">
        <v>66</v>
      </c>
      <c r="H26" s="7">
        <f t="shared" si="1"/>
        <v>13860</v>
      </c>
      <c r="I26" s="7">
        <f t="shared" si="0"/>
        <v>66</v>
      </c>
    </row>
    <row r="27" spans="2:9" ht="12">
      <c r="B27" s="8" t="s">
        <v>74</v>
      </c>
      <c r="E27" s="18" t="s">
        <v>17</v>
      </c>
      <c r="F27" s="92">
        <v>210</v>
      </c>
      <c r="G27" s="5">
        <v>6.78</v>
      </c>
      <c r="H27" s="7">
        <f t="shared" si="1"/>
        <v>1423.8</v>
      </c>
      <c r="I27" s="7">
        <f t="shared" si="0"/>
        <v>6.779999999999999</v>
      </c>
    </row>
    <row r="28" spans="2:9" ht="12">
      <c r="B28" s="8" t="s">
        <v>81</v>
      </c>
      <c r="E28" s="18" t="s">
        <v>17</v>
      </c>
      <c r="F28" s="92">
        <v>210</v>
      </c>
      <c r="G28" s="5">
        <v>37.72</v>
      </c>
      <c r="H28" s="7">
        <f t="shared" si="1"/>
        <v>7921.2</v>
      </c>
      <c r="I28" s="7">
        <f t="shared" si="0"/>
        <v>37.72</v>
      </c>
    </row>
    <row r="29" spans="2:9" ht="12">
      <c r="B29" s="8" t="s">
        <v>61</v>
      </c>
      <c r="E29" s="18" t="s">
        <v>17</v>
      </c>
      <c r="F29" s="92">
        <v>72.4</v>
      </c>
      <c r="G29" s="5">
        <v>1944</v>
      </c>
      <c r="H29" s="7">
        <f t="shared" si="1"/>
        <v>140745.6</v>
      </c>
      <c r="I29" s="7">
        <f t="shared" si="0"/>
        <v>670.2171428571429</v>
      </c>
    </row>
    <row r="30" spans="2:9" ht="12">
      <c r="B30" s="8" t="s">
        <v>79</v>
      </c>
      <c r="E30" s="18" t="s">
        <v>17</v>
      </c>
      <c r="F30" s="92">
        <v>210</v>
      </c>
      <c r="G30" s="5">
        <v>27</v>
      </c>
      <c r="H30" s="7">
        <f t="shared" si="1"/>
        <v>5670</v>
      </c>
      <c r="I30" s="7">
        <f t="shared" si="0"/>
        <v>27</v>
      </c>
    </row>
    <row r="31" spans="2:9" ht="12">
      <c r="B31" s="8" t="s">
        <v>80</v>
      </c>
      <c r="E31" s="18" t="s">
        <v>17</v>
      </c>
      <c r="F31" s="92">
        <v>210</v>
      </c>
      <c r="G31" s="5">
        <v>26</v>
      </c>
      <c r="H31" s="7">
        <f>+F31*G31</f>
        <v>5460</v>
      </c>
      <c r="I31" s="7">
        <f>+H31/210</f>
        <v>26</v>
      </c>
    </row>
    <row r="32" spans="2:9" ht="12">
      <c r="B32" s="8" t="s">
        <v>139</v>
      </c>
      <c r="E32" s="18" t="s">
        <v>18</v>
      </c>
      <c r="F32" s="92">
        <v>38028.9</v>
      </c>
      <c r="G32" s="5">
        <v>1</v>
      </c>
      <c r="H32" s="7">
        <f t="shared" si="1"/>
        <v>38028.9</v>
      </c>
      <c r="I32" s="7">
        <f t="shared" si="0"/>
        <v>181.09</v>
      </c>
    </row>
    <row r="33" spans="2:9" ht="12">
      <c r="B33" t="s">
        <v>19</v>
      </c>
      <c r="E33" s="19" t="s">
        <v>18</v>
      </c>
      <c r="F33" s="92">
        <v>11275.06</v>
      </c>
      <c r="G33" s="5">
        <v>1</v>
      </c>
      <c r="H33" s="7">
        <f t="shared" si="1"/>
        <v>11275.06</v>
      </c>
      <c r="I33" s="7">
        <f t="shared" si="0"/>
        <v>53.6907619047619</v>
      </c>
    </row>
    <row r="34" spans="2:9" ht="12">
      <c r="B34" t="s">
        <v>20</v>
      </c>
      <c r="E34" s="19" t="s">
        <v>18</v>
      </c>
      <c r="F34" s="92">
        <v>5467.5</v>
      </c>
      <c r="G34" s="5">
        <v>1</v>
      </c>
      <c r="H34" s="7">
        <f t="shared" si="1"/>
        <v>5467.5</v>
      </c>
      <c r="I34" s="7">
        <f t="shared" si="0"/>
        <v>26.035714285714285</v>
      </c>
    </row>
    <row r="35" spans="2:9" ht="12">
      <c r="B35" t="s">
        <v>21</v>
      </c>
      <c r="E35" s="19" t="s">
        <v>18</v>
      </c>
      <c r="F35" s="92">
        <v>9451.2</v>
      </c>
      <c r="G35" s="5">
        <v>1</v>
      </c>
      <c r="H35" s="7">
        <f t="shared" si="1"/>
        <v>9451.2</v>
      </c>
      <c r="I35" s="7">
        <f t="shared" si="0"/>
        <v>45.00571428571429</v>
      </c>
    </row>
    <row r="36" spans="2:9" ht="12">
      <c r="B36" t="s">
        <v>22</v>
      </c>
      <c r="E36" s="19" t="s">
        <v>18</v>
      </c>
      <c r="F36" s="92">
        <v>8497.5</v>
      </c>
      <c r="G36" s="5">
        <v>1</v>
      </c>
      <c r="H36" s="7">
        <f t="shared" si="1"/>
        <v>8497.5</v>
      </c>
      <c r="I36" s="7">
        <f t="shared" si="0"/>
        <v>40.464285714285715</v>
      </c>
    </row>
    <row r="37" spans="2:9" ht="12">
      <c r="B37" t="s">
        <v>23</v>
      </c>
      <c r="E37" s="19" t="s">
        <v>24</v>
      </c>
      <c r="F37" s="92">
        <v>6624</v>
      </c>
      <c r="G37" s="5">
        <v>10.83</v>
      </c>
      <c r="H37" s="7">
        <f t="shared" si="1"/>
        <v>71737.92</v>
      </c>
      <c r="I37" s="7">
        <f t="shared" si="0"/>
        <v>341.60914285714284</v>
      </c>
    </row>
    <row r="38" spans="2:9" ht="12">
      <c r="B38" s="8" t="s">
        <v>49</v>
      </c>
      <c r="E38" s="19" t="s">
        <v>24</v>
      </c>
      <c r="F38" s="92">
        <v>1080</v>
      </c>
      <c r="G38" s="5">
        <v>23.47</v>
      </c>
      <c r="H38" s="7">
        <f t="shared" si="1"/>
        <v>25347.6</v>
      </c>
      <c r="I38" s="7">
        <f t="shared" si="0"/>
        <v>120.70285714285714</v>
      </c>
    </row>
    <row r="39" spans="2:9" ht="12">
      <c r="B39" t="s">
        <v>25</v>
      </c>
      <c r="E39" s="18" t="s">
        <v>17</v>
      </c>
      <c r="F39" s="92">
        <v>210</v>
      </c>
      <c r="G39" s="5">
        <v>100</v>
      </c>
      <c r="H39" s="7">
        <f>+F39*G39</f>
        <v>21000</v>
      </c>
      <c r="I39" s="7">
        <f>+H39/210</f>
        <v>100</v>
      </c>
    </row>
    <row r="40" spans="2:9" ht="12.75">
      <c r="B40" s="6" t="s">
        <v>37</v>
      </c>
      <c r="F40" s="89"/>
      <c r="G40" s="5"/>
      <c r="H40" s="1">
        <f>SUM(H17:H39)</f>
        <v>876036.196</v>
      </c>
      <c r="I40" s="1">
        <f>+H40/210</f>
        <v>4171.600933333333</v>
      </c>
    </row>
    <row r="41" spans="6:9" ht="12">
      <c r="F41" s="89"/>
      <c r="G41" s="5"/>
      <c r="H41" s="46"/>
      <c r="I41" s="1"/>
    </row>
    <row r="42" spans="2:9" ht="12.75">
      <c r="B42" s="6" t="s">
        <v>26</v>
      </c>
      <c r="F42" s="89"/>
      <c r="G42" s="5"/>
      <c r="H42" s="33">
        <f>+H14-H40</f>
        <v>439781.16599999997</v>
      </c>
      <c r="I42" s="33">
        <f t="shared" si="0"/>
        <v>2094.1960285714285</v>
      </c>
    </row>
    <row r="43" spans="6:9" ht="12">
      <c r="F43" s="89"/>
      <c r="G43" s="5"/>
      <c r="H43" s="1"/>
      <c r="I43" s="1"/>
    </row>
    <row r="44" spans="1:7" ht="12.75">
      <c r="A44" s="6" t="s">
        <v>27</v>
      </c>
      <c r="F44" s="89"/>
      <c r="G44" s="5"/>
    </row>
    <row r="45" spans="2:7" ht="12">
      <c r="B45" t="s">
        <v>28</v>
      </c>
      <c r="F45" s="89"/>
      <c r="G45" s="5"/>
    </row>
    <row r="46" spans="3:9" ht="12">
      <c r="C46" t="s">
        <v>29</v>
      </c>
      <c r="E46" s="19" t="s">
        <v>18</v>
      </c>
      <c r="F46" s="92">
        <v>0</v>
      </c>
      <c r="G46" s="5">
        <v>1</v>
      </c>
      <c r="H46" s="7">
        <f>F46*G46</f>
        <v>0</v>
      </c>
      <c r="I46" s="7">
        <f t="shared" si="0"/>
        <v>0</v>
      </c>
    </row>
    <row r="47" spans="3:9" ht="12">
      <c r="C47" t="s">
        <v>39</v>
      </c>
      <c r="E47" s="19" t="s">
        <v>18</v>
      </c>
      <c r="F47" s="92">
        <v>40986.58</v>
      </c>
      <c r="G47" s="5">
        <v>1</v>
      </c>
      <c r="H47" s="7">
        <f aca="true" t="shared" si="2" ref="H47:H52">F47*G47</f>
        <v>40986.58</v>
      </c>
      <c r="I47" s="7">
        <f t="shared" si="0"/>
        <v>195.1741904761905</v>
      </c>
    </row>
    <row r="48" spans="3:9" ht="12">
      <c r="C48" t="s">
        <v>30</v>
      </c>
      <c r="E48" s="19" t="s">
        <v>18</v>
      </c>
      <c r="F48" s="92">
        <v>9244.44</v>
      </c>
      <c r="G48" s="5">
        <v>1</v>
      </c>
      <c r="H48" s="7">
        <f t="shared" si="2"/>
        <v>9244.44</v>
      </c>
      <c r="I48" s="7">
        <f t="shared" si="0"/>
        <v>44.02114285714286</v>
      </c>
    </row>
    <row r="49" spans="3:9" ht="12">
      <c r="C49" t="s">
        <v>31</v>
      </c>
      <c r="E49" s="19" t="s">
        <v>18</v>
      </c>
      <c r="F49" s="92">
        <v>24595.7</v>
      </c>
      <c r="G49" s="5">
        <v>1</v>
      </c>
      <c r="H49" s="7">
        <f t="shared" si="2"/>
        <v>24595.7</v>
      </c>
      <c r="I49" s="7">
        <f t="shared" si="0"/>
        <v>117.12238095238095</v>
      </c>
    </row>
    <row r="50" spans="3:9" ht="12">
      <c r="C50" t="s">
        <v>32</v>
      </c>
      <c r="E50" s="19" t="s">
        <v>18</v>
      </c>
      <c r="F50" s="92">
        <v>5459.1</v>
      </c>
      <c r="G50" s="5">
        <v>1</v>
      </c>
      <c r="H50" s="7">
        <f t="shared" si="2"/>
        <v>5459.1</v>
      </c>
      <c r="I50" s="7">
        <f t="shared" si="0"/>
        <v>25.99571428571429</v>
      </c>
    </row>
    <row r="51" spans="2:9" ht="12">
      <c r="B51" s="8" t="s">
        <v>50</v>
      </c>
      <c r="E51" s="18" t="s">
        <v>18</v>
      </c>
      <c r="F51" s="92">
        <v>325395</v>
      </c>
      <c r="G51" s="48">
        <v>0.0575</v>
      </c>
      <c r="H51" s="7">
        <f t="shared" si="2"/>
        <v>18710.2125</v>
      </c>
      <c r="I51" s="7">
        <f t="shared" si="0"/>
        <v>89.09625000000001</v>
      </c>
    </row>
    <row r="52" spans="2:9" ht="12">
      <c r="B52" s="8" t="s">
        <v>33</v>
      </c>
      <c r="E52" s="19" t="s">
        <v>18</v>
      </c>
      <c r="F52" s="92">
        <v>3351.4</v>
      </c>
      <c r="G52" s="5">
        <v>1</v>
      </c>
      <c r="H52" s="7">
        <f t="shared" si="2"/>
        <v>3351.4</v>
      </c>
      <c r="I52" s="7">
        <f t="shared" si="0"/>
        <v>15.95904761904762</v>
      </c>
    </row>
    <row r="53" spans="2:9" ht="12">
      <c r="B53" t="s">
        <v>34</v>
      </c>
      <c r="E53" s="19" t="s">
        <v>18</v>
      </c>
      <c r="F53" s="92">
        <v>18700</v>
      </c>
      <c r="G53" s="5">
        <v>1</v>
      </c>
      <c r="H53" s="7">
        <f>F53*G53</f>
        <v>18700</v>
      </c>
      <c r="I53" s="7">
        <f t="shared" si="0"/>
        <v>89.04761904761905</v>
      </c>
    </row>
    <row r="54" spans="2:9" ht="12.75">
      <c r="B54" s="6" t="s">
        <v>38</v>
      </c>
      <c r="F54" s="89"/>
      <c r="H54" s="1">
        <f>SUM(H46:H53)</f>
        <v>121047.4325</v>
      </c>
      <c r="I54" s="1">
        <f t="shared" si="0"/>
        <v>576.4163452380952</v>
      </c>
    </row>
    <row r="55" spans="8:9" ht="12">
      <c r="H55" s="1"/>
      <c r="I55" s="1"/>
    </row>
    <row r="56" spans="2:9" ht="12.75">
      <c r="B56" s="6" t="s">
        <v>35</v>
      </c>
      <c r="H56" s="33">
        <f>+H40+H54</f>
        <v>997083.6285</v>
      </c>
      <c r="I56" s="33">
        <f t="shared" si="0"/>
        <v>4748.0172785714285</v>
      </c>
    </row>
    <row r="57" spans="8:9" ht="12">
      <c r="H57" s="1"/>
      <c r="I57" s="1"/>
    </row>
    <row r="58" spans="2:9" ht="13.5" thickBot="1">
      <c r="B58" s="6" t="s">
        <v>51</v>
      </c>
      <c r="H58" s="34">
        <f>+H14-H56</f>
        <v>318733.7335</v>
      </c>
      <c r="I58" s="34">
        <f t="shared" si="0"/>
        <v>1517.7796833333332</v>
      </c>
    </row>
    <row r="59" ht="12.75" thickTop="1"/>
  </sheetData>
  <sheetProtection/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41">
      <selection activeCell="J41" sqref="J1:J16384"/>
    </sheetView>
  </sheetViews>
  <sheetFormatPr defaultColWidth="9.140625" defaultRowHeight="12.75"/>
  <cols>
    <col min="1" max="1" width="1.28515625" style="0" customWidth="1"/>
    <col min="3" max="3" width="11.140625" style="0" customWidth="1"/>
    <col min="5" max="5" width="9.140625" style="19" customWidth="1"/>
    <col min="6" max="6" width="13.7109375" style="19" customWidth="1"/>
    <col min="8" max="8" width="13.7109375" style="0" customWidth="1"/>
    <col min="9" max="9" width="11.8515625" style="0" customWidth="1"/>
    <col min="10" max="10" width="8.7109375" style="101" customWidth="1"/>
  </cols>
  <sheetData>
    <row r="1" spans="2:6" ht="15">
      <c r="B1" s="23" t="s">
        <v>86</v>
      </c>
      <c r="C1" s="21"/>
      <c r="D1" s="21"/>
      <c r="E1" s="21"/>
      <c r="F1" s="21"/>
    </row>
    <row r="2" spans="2:7" ht="15">
      <c r="B2" s="23" t="s">
        <v>142</v>
      </c>
      <c r="C2" s="21"/>
      <c r="D2" s="21"/>
      <c r="E2" s="21"/>
      <c r="F2" s="21"/>
      <c r="G2" s="43"/>
    </row>
    <row r="3" spans="2:6" ht="15">
      <c r="B3" s="41" t="s">
        <v>65</v>
      </c>
      <c r="C3" s="42"/>
      <c r="D3" s="42"/>
      <c r="E3" s="42"/>
      <c r="F3" s="22"/>
    </row>
    <row r="4" spans="2:6" ht="15">
      <c r="B4" s="23"/>
      <c r="C4" s="40"/>
      <c r="D4" s="40"/>
      <c r="E4" s="40"/>
      <c r="F4" s="22"/>
    </row>
    <row r="5" spans="1:9" ht="12.75">
      <c r="A5" s="28"/>
      <c r="B5" s="28"/>
      <c r="C5" s="25"/>
      <c r="D5" s="26"/>
      <c r="E5" s="27"/>
      <c r="F5" s="28" t="s">
        <v>0</v>
      </c>
      <c r="G5" s="25"/>
      <c r="H5" s="26"/>
      <c r="I5" s="27"/>
    </row>
    <row r="6" spans="1:9" ht="12.75">
      <c r="A6" s="24"/>
      <c r="B6" s="24"/>
      <c r="C6" s="9"/>
      <c r="D6" s="9" t="s">
        <v>1</v>
      </c>
      <c r="E6" s="9"/>
      <c r="F6" s="9" t="s">
        <v>2</v>
      </c>
      <c r="G6" s="9" t="s">
        <v>3</v>
      </c>
      <c r="H6" s="9" t="s">
        <v>4</v>
      </c>
      <c r="I6" s="9" t="s">
        <v>5</v>
      </c>
    </row>
    <row r="7" spans="1:9" ht="12.75">
      <c r="A7" s="31"/>
      <c r="B7" s="31"/>
      <c r="C7" s="10"/>
      <c r="D7" s="29" t="s">
        <v>6</v>
      </c>
      <c r="E7" s="10" t="s">
        <v>7</v>
      </c>
      <c r="F7" s="10" t="s">
        <v>8</v>
      </c>
      <c r="G7" s="10" t="s">
        <v>9</v>
      </c>
      <c r="H7" s="10"/>
      <c r="I7" s="10" t="s">
        <v>10</v>
      </c>
    </row>
    <row r="8" spans="1:3" ht="12.75">
      <c r="A8" s="6" t="s">
        <v>11</v>
      </c>
      <c r="B8" s="6"/>
      <c r="C8" s="6"/>
    </row>
    <row r="9" spans="2:10" ht="12">
      <c r="B9" t="s">
        <v>53</v>
      </c>
      <c r="D9" s="5">
        <v>194</v>
      </c>
      <c r="E9" s="19" t="s">
        <v>12</v>
      </c>
      <c r="F9" s="19">
        <v>120</v>
      </c>
      <c r="G9" s="7">
        <v>28.91</v>
      </c>
      <c r="H9" s="7">
        <f>D9*F9*G9</f>
        <v>673024.8</v>
      </c>
      <c r="I9" s="7">
        <f>+H9/120</f>
        <v>5608.54</v>
      </c>
      <c r="J9" s="102"/>
    </row>
    <row r="10" spans="2:10" ht="12">
      <c r="B10" t="s">
        <v>54</v>
      </c>
      <c r="D10" s="5">
        <v>1</v>
      </c>
      <c r="E10" s="19" t="s">
        <v>17</v>
      </c>
      <c r="F10" s="19">
        <v>55</v>
      </c>
      <c r="G10" s="7">
        <v>100</v>
      </c>
      <c r="H10" s="7">
        <f>D10*F10*G10</f>
        <v>5500</v>
      </c>
      <c r="I10" s="7">
        <f>+H10/120</f>
        <v>45.833333333333336</v>
      </c>
      <c r="J10" s="102"/>
    </row>
    <row r="11" spans="2:10" ht="12">
      <c r="B11" t="s">
        <v>13</v>
      </c>
      <c r="D11" s="5">
        <v>1</v>
      </c>
      <c r="E11" s="19" t="s">
        <v>17</v>
      </c>
      <c r="F11" s="19">
        <v>55</v>
      </c>
      <c r="G11" s="7">
        <v>234</v>
      </c>
      <c r="H11" s="7">
        <f>D11*F11*G11</f>
        <v>12870</v>
      </c>
      <c r="I11" s="7">
        <f>+H11/120</f>
        <v>107.25</v>
      </c>
      <c r="J11" s="102"/>
    </row>
    <row r="12" spans="2:10" ht="12">
      <c r="B12" t="s">
        <v>14</v>
      </c>
      <c r="D12" s="5">
        <v>1</v>
      </c>
      <c r="E12" s="19" t="s">
        <v>17</v>
      </c>
      <c r="F12" s="19">
        <v>32</v>
      </c>
      <c r="G12" s="7">
        <v>819</v>
      </c>
      <c r="H12" s="7">
        <f>D12*F12*G12</f>
        <v>26208</v>
      </c>
      <c r="I12" s="7">
        <f>+H12/120</f>
        <v>218.4</v>
      </c>
      <c r="J12" s="102"/>
    </row>
    <row r="13" spans="2:9" ht="12.75">
      <c r="B13" s="6" t="s">
        <v>36</v>
      </c>
      <c r="C13" s="6"/>
      <c r="D13" s="8"/>
      <c r="H13" s="2">
        <f>SUM(H9:H12)</f>
        <v>717602.8</v>
      </c>
      <c r="I13" s="2">
        <f>+H13/120</f>
        <v>5980.0233333333335</v>
      </c>
    </row>
    <row r="14" spans="4:9" ht="12">
      <c r="D14" s="8"/>
      <c r="H14" s="3"/>
      <c r="I14" s="3"/>
    </row>
    <row r="15" ht="12.75">
      <c r="A15" s="6" t="s">
        <v>15</v>
      </c>
    </row>
    <row r="16" spans="2:9" ht="12">
      <c r="B16" s="8" t="s">
        <v>16</v>
      </c>
      <c r="E16" s="19" t="s">
        <v>12</v>
      </c>
      <c r="F16" s="44">
        <v>4974.6</v>
      </c>
      <c r="G16" s="50">
        <v>11.75</v>
      </c>
      <c r="H16" s="7">
        <f>+F16*G16</f>
        <v>58451.55</v>
      </c>
      <c r="I16" s="7">
        <f aca="true" t="shared" si="0" ref="I16:I40">+H16/120</f>
        <v>487.09625</v>
      </c>
    </row>
    <row r="17" spans="2:9" ht="12">
      <c r="B17" s="8" t="s">
        <v>56</v>
      </c>
      <c r="E17" s="18" t="s">
        <v>12</v>
      </c>
      <c r="F17" s="44">
        <v>13469.76</v>
      </c>
      <c r="G17" s="50">
        <v>2.25</v>
      </c>
      <c r="H17" s="7">
        <f aca="true" t="shared" si="1" ref="H17:H40">+F17*G17</f>
        <v>30306.96</v>
      </c>
      <c r="I17" s="7">
        <f t="shared" si="0"/>
        <v>252.558</v>
      </c>
    </row>
    <row r="18" spans="2:9" ht="12">
      <c r="B18" s="8" t="s">
        <v>123</v>
      </c>
      <c r="E18" s="18" t="s">
        <v>12</v>
      </c>
      <c r="F18" s="44">
        <v>10573.2</v>
      </c>
      <c r="G18" s="50">
        <v>11.88</v>
      </c>
      <c r="H18" s="7">
        <f t="shared" si="1"/>
        <v>125609.61600000002</v>
      </c>
      <c r="I18" s="7">
        <f t="shared" si="0"/>
        <v>1046.7468000000001</v>
      </c>
    </row>
    <row r="19" spans="2:9" ht="12">
      <c r="B19" s="8" t="s">
        <v>125</v>
      </c>
      <c r="E19" s="18" t="s">
        <v>12</v>
      </c>
      <c r="F19" s="44">
        <v>185.04</v>
      </c>
      <c r="G19" s="50">
        <v>23.13</v>
      </c>
      <c r="H19" s="7">
        <f t="shared" si="1"/>
        <v>4279.9752</v>
      </c>
      <c r="I19" s="7">
        <f t="shared" si="0"/>
        <v>35.66646</v>
      </c>
    </row>
    <row r="20" spans="2:9" ht="12">
      <c r="B20" s="8" t="s">
        <v>124</v>
      </c>
      <c r="E20" s="18" t="s">
        <v>12</v>
      </c>
      <c r="F20" s="44">
        <v>1163.52</v>
      </c>
      <c r="G20" s="50">
        <v>9.26</v>
      </c>
      <c r="H20" s="7">
        <f t="shared" si="1"/>
        <v>10774.1952</v>
      </c>
      <c r="I20" s="7">
        <f t="shared" si="0"/>
        <v>89.78496</v>
      </c>
    </row>
    <row r="21" spans="2:9" ht="12">
      <c r="B21" s="8" t="s">
        <v>126</v>
      </c>
      <c r="E21" s="18" t="s">
        <v>17</v>
      </c>
      <c r="F21" s="44">
        <v>120</v>
      </c>
      <c r="G21" s="50">
        <v>57</v>
      </c>
      <c r="H21" s="7">
        <f t="shared" si="1"/>
        <v>6840</v>
      </c>
      <c r="I21" s="7">
        <f t="shared" si="0"/>
        <v>57</v>
      </c>
    </row>
    <row r="22" spans="2:9" ht="12">
      <c r="B22" s="8" t="s">
        <v>57</v>
      </c>
      <c r="E22" s="18" t="s">
        <v>17</v>
      </c>
      <c r="F22" s="44">
        <v>120</v>
      </c>
      <c r="G22" s="5">
        <v>46</v>
      </c>
      <c r="H22" s="7">
        <f t="shared" si="1"/>
        <v>5520</v>
      </c>
      <c r="I22" s="7">
        <f t="shared" si="0"/>
        <v>46</v>
      </c>
    </row>
    <row r="23" spans="2:9" ht="12">
      <c r="B23" s="8" t="s">
        <v>76</v>
      </c>
      <c r="E23" s="18" t="s">
        <v>17</v>
      </c>
      <c r="F23" s="44">
        <v>120</v>
      </c>
      <c r="G23" s="5">
        <v>121.5</v>
      </c>
      <c r="H23" s="7">
        <f t="shared" si="1"/>
        <v>14580</v>
      </c>
      <c r="I23" s="7">
        <f t="shared" si="0"/>
        <v>121.5</v>
      </c>
    </row>
    <row r="24" spans="2:9" ht="12">
      <c r="B24" s="8" t="s">
        <v>58</v>
      </c>
      <c r="E24" s="19" t="s">
        <v>17</v>
      </c>
      <c r="F24" s="44">
        <v>120</v>
      </c>
      <c r="G24" s="5">
        <v>43</v>
      </c>
      <c r="H24" s="7">
        <f t="shared" si="1"/>
        <v>5160</v>
      </c>
      <c r="I24" s="7">
        <f t="shared" si="0"/>
        <v>43</v>
      </c>
    </row>
    <row r="25" spans="2:9" ht="12">
      <c r="B25" s="8" t="s">
        <v>82</v>
      </c>
      <c r="E25" s="18" t="s">
        <v>17</v>
      </c>
      <c r="F25" s="44">
        <v>120</v>
      </c>
      <c r="G25" s="5">
        <v>6.78</v>
      </c>
      <c r="H25" s="7">
        <f t="shared" si="1"/>
        <v>813.6</v>
      </c>
      <c r="I25" s="7">
        <f t="shared" si="0"/>
        <v>6.78</v>
      </c>
    </row>
    <row r="26" spans="2:9" ht="12">
      <c r="B26" s="8" t="s">
        <v>59</v>
      </c>
      <c r="E26" s="18" t="s">
        <v>17</v>
      </c>
      <c r="F26" s="44">
        <v>120</v>
      </c>
      <c r="G26" s="5">
        <v>66</v>
      </c>
      <c r="H26" s="7">
        <f t="shared" si="1"/>
        <v>7920</v>
      </c>
      <c r="I26" s="7">
        <f t="shared" si="0"/>
        <v>66</v>
      </c>
    </row>
    <row r="27" spans="2:9" ht="12">
      <c r="B27" s="8" t="s">
        <v>60</v>
      </c>
      <c r="E27" s="18" t="s">
        <v>17</v>
      </c>
      <c r="F27" s="44">
        <v>120</v>
      </c>
      <c r="G27" s="5">
        <v>10.47</v>
      </c>
      <c r="H27" s="7">
        <f t="shared" si="1"/>
        <v>1256.4</v>
      </c>
      <c r="I27" s="7">
        <f t="shared" si="0"/>
        <v>10.47</v>
      </c>
    </row>
    <row r="28" spans="2:9" ht="12">
      <c r="B28" s="8" t="s">
        <v>78</v>
      </c>
      <c r="E28" s="18" t="s">
        <v>17</v>
      </c>
      <c r="F28" s="44">
        <v>120</v>
      </c>
      <c r="G28" s="5">
        <v>37.72</v>
      </c>
      <c r="H28" s="7">
        <f t="shared" si="1"/>
        <v>4526.4</v>
      </c>
      <c r="I28" s="7">
        <f t="shared" si="0"/>
        <v>37.72</v>
      </c>
    </row>
    <row r="29" spans="2:9" ht="12">
      <c r="B29" s="8" t="s">
        <v>61</v>
      </c>
      <c r="E29" s="18" t="s">
        <v>17</v>
      </c>
      <c r="F29" s="44">
        <v>40</v>
      </c>
      <c r="G29" s="5">
        <v>1944</v>
      </c>
      <c r="H29" s="7">
        <f t="shared" si="1"/>
        <v>77760</v>
      </c>
      <c r="I29" s="7">
        <f t="shared" si="0"/>
        <v>648</v>
      </c>
    </row>
    <row r="30" spans="2:9" ht="12">
      <c r="B30" s="8" t="s">
        <v>66</v>
      </c>
      <c r="E30" s="18" t="s">
        <v>17</v>
      </c>
      <c r="F30" s="44">
        <v>120</v>
      </c>
      <c r="G30" s="5">
        <v>94</v>
      </c>
      <c r="H30" s="7">
        <f t="shared" si="1"/>
        <v>11280</v>
      </c>
      <c r="I30" s="7">
        <f t="shared" si="0"/>
        <v>94</v>
      </c>
    </row>
    <row r="31" spans="2:9" ht="12">
      <c r="B31" s="8" t="s">
        <v>77</v>
      </c>
      <c r="E31" s="18" t="s">
        <v>17</v>
      </c>
      <c r="F31" s="44">
        <v>120</v>
      </c>
      <c r="G31" s="5">
        <v>32.7</v>
      </c>
      <c r="H31" s="7">
        <f t="shared" si="1"/>
        <v>3924.0000000000005</v>
      </c>
      <c r="I31" s="7">
        <f t="shared" si="0"/>
        <v>32.7</v>
      </c>
    </row>
    <row r="32" spans="2:9" ht="12">
      <c r="B32" s="8" t="s">
        <v>79</v>
      </c>
      <c r="E32" s="18" t="s">
        <v>17</v>
      </c>
      <c r="F32" s="44">
        <v>120</v>
      </c>
      <c r="G32" s="5">
        <v>27</v>
      </c>
      <c r="H32" s="7">
        <f t="shared" si="1"/>
        <v>3240</v>
      </c>
      <c r="I32" s="7">
        <f t="shared" si="0"/>
        <v>27</v>
      </c>
    </row>
    <row r="33" spans="2:9" ht="12">
      <c r="B33" s="8" t="s">
        <v>80</v>
      </c>
      <c r="E33" s="18" t="s">
        <v>17</v>
      </c>
      <c r="F33" s="44">
        <v>120</v>
      </c>
      <c r="G33" s="5">
        <v>19.79</v>
      </c>
      <c r="H33" s="7">
        <f t="shared" si="1"/>
        <v>2374.7999999999997</v>
      </c>
      <c r="I33" s="7">
        <f t="shared" si="0"/>
        <v>19.79</v>
      </c>
    </row>
    <row r="34" spans="2:9" ht="12">
      <c r="B34" s="8" t="s">
        <v>139</v>
      </c>
      <c r="E34" s="18" t="s">
        <v>18</v>
      </c>
      <c r="F34" s="44">
        <v>120</v>
      </c>
      <c r="G34" s="7">
        <v>156.47</v>
      </c>
      <c r="H34" s="7">
        <f t="shared" si="1"/>
        <v>18776.4</v>
      </c>
      <c r="I34" s="7">
        <f t="shared" si="0"/>
        <v>156.47</v>
      </c>
    </row>
    <row r="35" spans="2:9" ht="12">
      <c r="B35" t="s">
        <v>19</v>
      </c>
      <c r="E35" s="19" t="s">
        <v>18</v>
      </c>
      <c r="F35" s="44">
        <v>10158.91</v>
      </c>
      <c r="G35" s="5">
        <v>1</v>
      </c>
      <c r="H35" s="7">
        <f t="shared" si="1"/>
        <v>10158.91</v>
      </c>
      <c r="I35" s="7">
        <f t="shared" si="0"/>
        <v>84.65758333333333</v>
      </c>
    </row>
    <row r="36" spans="2:9" ht="12">
      <c r="B36" t="s">
        <v>20</v>
      </c>
      <c r="E36" s="19" t="s">
        <v>18</v>
      </c>
      <c r="F36" s="44">
        <v>4954.5</v>
      </c>
      <c r="G36" s="5">
        <v>1</v>
      </c>
      <c r="H36" s="7">
        <f t="shared" si="1"/>
        <v>4954.5</v>
      </c>
      <c r="I36" s="7">
        <f t="shared" si="0"/>
        <v>41.2875</v>
      </c>
    </row>
    <row r="37" spans="2:9" ht="12">
      <c r="B37" t="s">
        <v>21</v>
      </c>
      <c r="E37" s="19" t="s">
        <v>18</v>
      </c>
      <c r="F37" s="44">
        <v>5557.8</v>
      </c>
      <c r="G37" s="5">
        <v>1</v>
      </c>
      <c r="H37" s="7">
        <f t="shared" si="1"/>
        <v>5557.8</v>
      </c>
      <c r="I37" s="7">
        <f t="shared" si="0"/>
        <v>46.315000000000005</v>
      </c>
    </row>
    <row r="38" spans="2:9" ht="12">
      <c r="B38" t="s">
        <v>22</v>
      </c>
      <c r="E38" s="19" t="s">
        <v>18</v>
      </c>
      <c r="F38" s="44">
        <v>5053.5</v>
      </c>
      <c r="G38" s="5">
        <v>1</v>
      </c>
      <c r="H38" s="7">
        <f t="shared" si="1"/>
        <v>5053.5</v>
      </c>
      <c r="I38" s="7">
        <f t="shared" si="0"/>
        <v>42.1125</v>
      </c>
    </row>
    <row r="39" spans="2:9" ht="12">
      <c r="B39" t="s">
        <v>23</v>
      </c>
      <c r="E39" s="19" t="s">
        <v>24</v>
      </c>
      <c r="F39" s="44">
        <v>2844</v>
      </c>
      <c r="G39" s="5">
        <v>11.21</v>
      </c>
      <c r="H39" s="7">
        <f t="shared" si="1"/>
        <v>31881.24</v>
      </c>
      <c r="I39" s="7">
        <f t="shared" si="0"/>
        <v>265.677</v>
      </c>
    </row>
    <row r="40" spans="2:9" ht="12">
      <c r="B40" s="8" t="s">
        <v>49</v>
      </c>
      <c r="E40" s="19" t="s">
        <v>24</v>
      </c>
      <c r="F40" s="44">
        <v>1836</v>
      </c>
      <c r="G40" s="5">
        <v>23.47</v>
      </c>
      <c r="H40" s="32">
        <f t="shared" si="1"/>
        <v>43090.92</v>
      </c>
      <c r="I40" s="32">
        <f t="shared" si="0"/>
        <v>359.091</v>
      </c>
    </row>
    <row r="41" spans="6:9" ht="12">
      <c r="F41" s="44"/>
      <c r="G41" s="5"/>
      <c r="H41" s="93"/>
      <c r="I41" s="93"/>
    </row>
    <row r="42" spans="2:9" ht="12.75">
      <c r="B42" s="6" t="s">
        <v>37</v>
      </c>
      <c r="G42" s="5"/>
      <c r="H42" s="1">
        <f>SUM(H16:H40)</f>
        <v>494090.7664</v>
      </c>
      <c r="I42" s="1">
        <f>SUM(I16:I40)</f>
        <v>4117.423053333333</v>
      </c>
    </row>
    <row r="43" spans="7:9" ht="12">
      <c r="G43" s="5"/>
      <c r="H43" s="1"/>
      <c r="I43" s="1"/>
    </row>
    <row r="44" spans="2:9" ht="12.75">
      <c r="B44" s="6" t="s">
        <v>26</v>
      </c>
      <c r="G44" s="5"/>
      <c r="H44" s="33">
        <f>+H13-H42</f>
        <v>223512.03360000002</v>
      </c>
      <c r="I44" s="33">
        <f>+H44/120</f>
        <v>1862.60028</v>
      </c>
    </row>
    <row r="45" spans="7:9" ht="12">
      <c r="G45" s="5"/>
      <c r="H45" s="1"/>
      <c r="I45" s="1"/>
    </row>
    <row r="46" spans="1:7" ht="12.75">
      <c r="A46" s="6" t="s">
        <v>27</v>
      </c>
      <c r="G46" s="5"/>
    </row>
    <row r="47" spans="2:7" ht="12">
      <c r="B47" t="s">
        <v>28</v>
      </c>
      <c r="G47" s="5"/>
    </row>
    <row r="48" spans="3:9" ht="12">
      <c r="C48" t="s">
        <v>39</v>
      </c>
      <c r="E48" s="19" t="s">
        <v>18</v>
      </c>
      <c r="F48" s="44">
        <v>26692.64</v>
      </c>
      <c r="G48" s="5">
        <v>1</v>
      </c>
      <c r="H48" s="7">
        <f aca="true" t="shared" si="2" ref="H48:H53">F48*G48</f>
        <v>26692.64</v>
      </c>
      <c r="I48" s="7">
        <f aca="true" t="shared" si="3" ref="I48:I54">+H48/120</f>
        <v>222.43866666666665</v>
      </c>
    </row>
    <row r="49" spans="3:9" ht="12">
      <c r="C49" t="s">
        <v>30</v>
      </c>
      <c r="E49" s="19" t="s">
        <v>18</v>
      </c>
      <c r="F49" s="44">
        <v>9687.61</v>
      </c>
      <c r="G49" s="5">
        <v>1</v>
      </c>
      <c r="H49" s="7">
        <f t="shared" si="2"/>
        <v>9687.61</v>
      </c>
      <c r="I49" s="7">
        <f t="shared" si="3"/>
        <v>80.73008333333334</v>
      </c>
    </row>
    <row r="50" spans="3:9" ht="12">
      <c r="C50" t="s">
        <v>31</v>
      </c>
      <c r="E50" s="19" t="s">
        <v>18</v>
      </c>
      <c r="F50" s="44">
        <v>15307.66</v>
      </c>
      <c r="G50" s="5">
        <v>1</v>
      </c>
      <c r="H50" s="7">
        <f t="shared" si="2"/>
        <v>15307.66</v>
      </c>
      <c r="I50" s="7">
        <f t="shared" si="3"/>
        <v>127.56383333333333</v>
      </c>
    </row>
    <row r="51" spans="3:9" ht="12">
      <c r="C51" t="s">
        <v>32</v>
      </c>
      <c r="E51" s="19" t="s">
        <v>18</v>
      </c>
      <c r="F51" s="44">
        <v>3405.27</v>
      </c>
      <c r="G51" s="5">
        <v>1</v>
      </c>
      <c r="H51" s="7">
        <f t="shared" si="2"/>
        <v>3405.27</v>
      </c>
      <c r="I51" s="7">
        <f t="shared" si="3"/>
        <v>28.37725</v>
      </c>
    </row>
    <row r="52" spans="2:9" ht="12">
      <c r="B52" s="8" t="s">
        <v>50</v>
      </c>
      <c r="E52" s="18" t="s">
        <v>18</v>
      </c>
      <c r="F52" s="44">
        <v>159060</v>
      </c>
      <c r="G52" s="5">
        <v>0.0575</v>
      </c>
      <c r="H52" s="7">
        <f t="shared" si="2"/>
        <v>9145.95</v>
      </c>
      <c r="I52" s="7">
        <f t="shared" si="3"/>
        <v>76.21625</v>
      </c>
    </row>
    <row r="53" spans="2:9" ht="12">
      <c r="B53" s="8" t="s">
        <v>33</v>
      </c>
      <c r="E53" s="19" t="s">
        <v>18</v>
      </c>
      <c r="F53" s="44">
        <v>2326.86</v>
      </c>
      <c r="G53" s="5">
        <v>1</v>
      </c>
      <c r="H53" s="7">
        <f t="shared" si="2"/>
        <v>2326.86</v>
      </c>
      <c r="I53" s="7">
        <f t="shared" si="3"/>
        <v>19.3905</v>
      </c>
    </row>
    <row r="54" spans="2:9" ht="12">
      <c r="B54" t="s">
        <v>34</v>
      </c>
      <c r="E54" s="19" t="s">
        <v>18</v>
      </c>
      <c r="F54" s="44">
        <v>8880</v>
      </c>
      <c r="G54" s="5">
        <v>1</v>
      </c>
      <c r="H54" s="7">
        <f>F54*G54</f>
        <v>8880</v>
      </c>
      <c r="I54" s="7">
        <f t="shared" si="3"/>
        <v>74</v>
      </c>
    </row>
    <row r="55" spans="2:9" ht="12.75">
      <c r="B55" s="6" t="s">
        <v>38</v>
      </c>
      <c r="H55" s="1">
        <f>SUM(H48:H54)</f>
        <v>75445.99</v>
      </c>
      <c r="I55" s="1">
        <f>SUM(I48:I54)</f>
        <v>628.7165833333333</v>
      </c>
    </row>
    <row r="56" spans="8:9" ht="12">
      <c r="H56" s="1"/>
      <c r="I56" s="1"/>
    </row>
    <row r="57" spans="2:9" ht="12.75">
      <c r="B57" s="6" t="s">
        <v>35</v>
      </c>
      <c r="H57" s="33">
        <f>+H42+H55</f>
        <v>569536.7564000001</v>
      </c>
      <c r="I57" s="33">
        <f>+H57/120</f>
        <v>4746.139636666668</v>
      </c>
    </row>
    <row r="58" spans="8:9" ht="12">
      <c r="H58" s="1"/>
      <c r="I58" s="1"/>
    </row>
    <row r="59" spans="2:9" ht="13.5" thickBot="1">
      <c r="B59" s="6" t="s">
        <v>51</v>
      </c>
      <c r="H59" s="34">
        <f>+H13-H57</f>
        <v>148066.04359999998</v>
      </c>
      <c r="I59" s="34">
        <f>+H59/120</f>
        <v>1233.8836966666665</v>
      </c>
    </row>
    <row r="60" ht="12.75" thickTop="1"/>
  </sheetData>
  <sheetProtection/>
  <printOptions/>
  <pageMargins left="0.7" right="0.7" top="0.75" bottom="0.75" header="0.3" footer="0.3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Rimbey</dc:creator>
  <cp:keywords/>
  <dc:description/>
  <cp:lastModifiedBy>KatePainter</cp:lastModifiedBy>
  <cp:lastPrinted>2013-09-17T00:13:33Z</cp:lastPrinted>
  <dcterms:created xsi:type="dcterms:W3CDTF">1998-10-26T16:06:53Z</dcterms:created>
  <dcterms:modified xsi:type="dcterms:W3CDTF">2015-05-28T23:36:18Z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